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torvg\Documents\PICS newsite\Distribution\"/>
    </mc:Choice>
  </mc:AlternateContent>
  <bookViews>
    <workbookView xWindow="0" yWindow="0" windowWidth="23040" windowHeight="7956" tabRatio="630"/>
  </bookViews>
  <sheets>
    <sheet name="Instructions" sheetId="6" r:id="rId1"/>
    <sheet name="Current tariff" sheetId="1" r:id="rId2"/>
    <sheet name="Municrate" sheetId="3" r:id="rId3"/>
    <sheet name="Comparison" sheetId="4" r:id="rId4"/>
    <sheet name="Comp at different consumption" sheetId="5" r:id="rId5"/>
    <sheet name="Tariff charges Current" sheetId="2" r:id="rId6"/>
    <sheet name="Tariff charges Revised" sheetId="7" r:id="rId7"/>
  </sheets>
  <externalReferences>
    <externalReference r:id="rId8"/>
  </externalReferences>
  <definedNames>
    <definedName name="VAT">'[1]Loss Factors'!$AL$1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5" l="1"/>
  <c r="C4" i="1"/>
  <c r="D17" i="3" l="1"/>
  <c r="D16" i="3"/>
  <c r="N1" i="2"/>
  <c r="S2" i="2" s="1"/>
  <c r="D14" i="3"/>
  <c r="O14" i="3" s="1"/>
  <c r="D18" i="3"/>
  <c r="T3" i="2" l="1"/>
  <c r="S3" i="2"/>
  <c r="D18" i="1" s="1"/>
  <c r="D29" i="1" s="1"/>
  <c r="R3" i="2"/>
  <c r="R4" i="2"/>
  <c r="Q3" i="2"/>
  <c r="S4" i="2"/>
  <c r="O3" i="2"/>
  <c r="D15" i="1" s="1"/>
  <c r="O4" i="2"/>
  <c r="O2" i="2"/>
  <c r="D16" i="1" s="1"/>
  <c r="Q4" i="2"/>
  <c r="P2" i="2"/>
  <c r="D17" i="1" s="1"/>
  <c r="T4" i="2"/>
  <c r="E14" i="3"/>
  <c r="E9" i="3"/>
  <c r="F9" i="3"/>
  <c r="G9" i="3"/>
  <c r="H9" i="3"/>
  <c r="I9" i="3"/>
  <c r="J9" i="3"/>
  <c r="K9" i="3"/>
  <c r="L9" i="3"/>
  <c r="M9" i="3"/>
  <c r="N9" i="3"/>
  <c r="O9" i="3"/>
  <c r="O25" i="3" s="1"/>
  <c r="D9" i="3"/>
  <c r="D25" i="3" s="1"/>
  <c r="D19" i="1" l="1"/>
  <c r="D21" i="1"/>
  <c r="D20" i="1"/>
  <c r="F14" i="3"/>
  <c r="E25" i="3"/>
  <c r="E17" i="3"/>
  <c r="D6" i="4"/>
  <c r="D7" i="4"/>
  <c r="C3" i="3"/>
  <c r="B13" i="4"/>
  <c r="B8" i="4"/>
  <c r="B29" i="3"/>
  <c r="B28" i="3"/>
  <c r="B27" i="3"/>
  <c r="B26" i="3"/>
  <c r="B22" i="3"/>
  <c r="P9" i="3"/>
  <c r="E4" i="5" l="1"/>
  <c r="E19" i="1"/>
  <c r="E30" i="1" s="1"/>
  <c r="L4" i="5"/>
  <c r="G4" i="5"/>
  <c r="F4" i="5"/>
  <c r="N4" i="5"/>
  <c r="J4" i="5"/>
  <c r="O4" i="5"/>
  <c r="D31" i="1"/>
  <c r="K4" i="5"/>
  <c r="R4" i="5"/>
  <c r="C4" i="5"/>
  <c r="M4" i="5"/>
  <c r="Q4" i="5"/>
  <c r="P4" i="5"/>
  <c r="D4" i="5"/>
  <c r="I4" i="5"/>
  <c r="H4" i="5"/>
  <c r="B7" i="3"/>
  <c r="D12" i="3" s="1"/>
  <c r="N3" i="7"/>
  <c r="O3" i="7" s="1"/>
  <c r="D15" i="3" s="1"/>
  <c r="G14" i="3"/>
  <c r="F25" i="3"/>
  <c r="D30" i="1"/>
  <c r="E18" i="3"/>
  <c r="D27" i="3"/>
  <c r="E16" i="3"/>
  <c r="F17" i="3"/>
  <c r="E28" i="3"/>
  <c r="O16" i="3"/>
  <c r="O27" i="3" s="1"/>
  <c r="O17" i="3"/>
  <c r="O28" i="3" s="1"/>
  <c r="D28" i="3"/>
  <c r="F19" i="1" l="1"/>
  <c r="G19" i="1" s="1"/>
  <c r="F5" i="5"/>
  <c r="N5" i="5"/>
  <c r="P5" i="5"/>
  <c r="G5" i="5"/>
  <c r="O5" i="5"/>
  <c r="H5" i="5"/>
  <c r="C5" i="5"/>
  <c r="L5" i="5"/>
  <c r="E5" i="5"/>
  <c r="M5" i="5"/>
  <c r="I5" i="5"/>
  <c r="Q5" i="5"/>
  <c r="J5" i="5"/>
  <c r="R5" i="5"/>
  <c r="K5" i="5"/>
  <c r="D5" i="5"/>
  <c r="B5" i="5"/>
  <c r="D3" i="4"/>
  <c r="H14" i="3"/>
  <c r="G25" i="3"/>
  <c r="D22" i="3"/>
  <c r="D29" i="3"/>
  <c r="E12" i="3"/>
  <c r="F12" i="3" s="1"/>
  <c r="O18" i="3"/>
  <c r="O29" i="3" s="1"/>
  <c r="F30" i="1"/>
  <c r="F28" i="3"/>
  <c r="G17" i="3"/>
  <c r="F16" i="3"/>
  <c r="E27" i="3"/>
  <c r="F18" i="3"/>
  <c r="E29" i="3"/>
  <c r="I14" i="3" l="1"/>
  <c r="H25" i="3"/>
  <c r="E22" i="3"/>
  <c r="H19" i="1"/>
  <c r="G30" i="1"/>
  <c r="F22" i="3"/>
  <c r="G12" i="3"/>
  <c r="F27" i="3"/>
  <c r="G16" i="3"/>
  <c r="G18" i="3"/>
  <c r="F29" i="3"/>
  <c r="G28" i="3"/>
  <c r="H17" i="3"/>
  <c r="J14" i="3" l="1"/>
  <c r="I25" i="3"/>
  <c r="H30" i="1"/>
  <c r="I19" i="1"/>
  <c r="G29" i="3"/>
  <c r="H18" i="3"/>
  <c r="I17" i="3"/>
  <c r="H28" i="3"/>
  <c r="G27" i="3"/>
  <c r="H16" i="3"/>
  <c r="G22" i="3"/>
  <c r="H12" i="3"/>
  <c r="K14" i="3" l="1"/>
  <c r="J25" i="3"/>
  <c r="I30" i="1"/>
  <c r="J19" i="1"/>
  <c r="H22" i="3"/>
  <c r="I12" i="3"/>
  <c r="H27" i="3"/>
  <c r="I16" i="3"/>
  <c r="J17" i="3"/>
  <c r="I28" i="3"/>
  <c r="H29" i="3"/>
  <c r="I18" i="3"/>
  <c r="L14" i="3" l="1"/>
  <c r="K25" i="3"/>
  <c r="K19" i="1"/>
  <c r="K30" i="1" s="1"/>
  <c r="J30" i="1"/>
  <c r="I22" i="3"/>
  <c r="J12" i="3"/>
  <c r="J28" i="3"/>
  <c r="K17" i="3"/>
  <c r="J18" i="3"/>
  <c r="I29" i="3"/>
  <c r="J16" i="3"/>
  <c r="I27" i="3"/>
  <c r="M14" i="3" l="1"/>
  <c r="L25" i="3"/>
  <c r="K18" i="3"/>
  <c r="J29" i="3"/>
  <c r="J22" i="3"/>
  <c r="K12" i="3"/>
  <c r="J27" i="3"/>
  <c r="K16" i="3"/>
  <c r="K28" i="3"/>
  <c r="L17" i="3"/>
  <c r="N14" i="3" l="1"/>
  <c r="N25" i="3" s="1"/>
  <c r="M25" i="3"/>
  <c r="L12" i="3"/>
  <c r="K22" i="3"/>
  <c r="M17" i="3"/>
  <c r="L28" i="3"/>
  <c r="K29" i="3"/>
  <c r="L18" i="3"/>
  <c r="K27" i="3"/>
  <c r="L16" i="3"/>
  <c r="P25" i="3" l="1"/>
  <c r="N17" i="3"/>
  <c r="N28" i="3" s="1"/>
  <c r="M28" i="3"/>
  <c r="L29" i="3"/>
  <c r="M18" i="3"/>
  <c r="L27" i="3"/>
  <c r="M16" i="3"/>
  <c r="L22" i="3"/>
  <c r="M12" i="3"/>
  <c r="M22" i="3" l="1"/>
  <c r="N12" i="3"/>
  <c r="N16" i="3"/>
  <c r="N27" i="3" s="1"/>
  <c r="M27" i="3"/>
  <c r="N18" i="3"/>
  <c r="N29" i="3" s="1"/>
  <c r="M29" i="3"/>
  <c r="P28" i="3"/>
  <c r="D11" i="4" s="1"/>
  <c r="D8" i="4" l="1"/>
  <c r="P27" i="3"/>
  <c r="D10" i="4" s="1"/>
  <c r="N22" i="3"/>
  <c r="O12" i="3"/>
  <c r="O22" i="3" s="1"/>
  <c r="P29" i="3"/>
  <c r="D12" i="4" s="1"/>
  <c r="P22" i="3" l="1"/>
  <c r="D5" i="4" s="1"/>
  <c r="B32" i="1" l="1"/>
  <c r="B12" i="4" s="1"/>
  <c r="B29" i="1"/>
  <c r="B9" i="4" s="1"/>
  <c r="B30" i="1"/>
  <c r="B10" i="4" s="1"/>
  <c r="B31" i="1"/>
  <c r="B11" i="4" s="1"/>
  <c r="B27" i="1"/>
  <c r="B7" i="4" s="1"/>
  <c r="B26" i="1"/>
  <c r="B6" i="4" s="1"/>
  <c r="B25" i="1"/>
  <c r="B5" i="4" s="1"/>
  <c r="B9" i="1"/>
  <c r="D32" i="1"/>
  <c r="C3" i="4" l="1"/>
  <c r="B4" i="5"/>
  <c r="E17" i="1"/>
  <c r="F17" i="1" l="1"/>
  <c r="E27" i="1"/>
  <c r="D27" i="1"/>
  <c r="O21" i="1"/>
  <c r="O32" i="1" s="1"/>
  <c r="O20" i="1"/>
  <c r="O31" i="1" s="1"/>
  <c r="O19" i="1"/>
  <c r="O30" i="1" s="1"/>
  <c r="P11" i="1"/>
  <c r="F2" i="4" s="1"/>
  <c r="G17" i="1" l="1"/>
  <c r="F27" i="1"/>
  <c r="E15" i="1"/>
  <c r="D25" i="1"/>
  <c r="E16" i="1"/>
  <c r="D26" i="1"/>
  <c r="D28" i="1" s="1"/>
  <c r="L19" i="1"/>
  <c r="E20" i="1"/>
  <c r="E21" i="1"/>
  <c r="D6" i="5" l="1"/>
  <c r="H6" i="5"/>
  <c r="L6" i="5"/>
  <c r="P6" i="5"/>
  <c r="E6" i="5"/>
  <c r="I6" i="5"/>
  <c r="M6" i="5"/>
  <c r="Q6" i="5"/>
  <c r="F6" i="5"/>
  <c r="J6" i="5"/>
  <c r="N6" i="5"/>
  <c r="R6" i="5"/>
  <c r="K6" i="5"/>
  <c r="O6" i="5"/>
  <c r="C6" i="5"/>
  <c r="G6" i="5"/>
  <c r="H17" i="1"/>
  <c r="G27" i="1"/>
  <c r="F21" i="1"/>
  <c r="E32" i="1"/>
  <c r="O15" i="3"/>
  <c r="O26" i="3" s="1"/>
  <c r="O30" i="3" s="1"/>
  <c r="O31" i="3" s="1"/>
  <c r="E15" i="3"/>
  <c r="D26" i="3"/>
  <c r="E18" i="1"/>
  <c r="D33" i="1"/>
  <c r="D34" i="1" s="1"/>
  <c r="M19" i="1"/>
  <c r="L30" i="1"/>
  <c r="F20" i="1"/>
  <c r="E31" i="1"/>
  <c r="F16" i="1"/>
  <c r="E26" i="1"/>
  <c r="E28" i="1" s="1"/>
  <c r="F15" i="1"/>
  <c r="E25" i="1"/>
  <c r="O18" i="1"/>
  <c r="O29" i="1" s="1"/>
  <c r="I17" i="1" l="1"/>
  <c r="H27" i="1"/>
  <c r="F18" i="1"/>
  <c r="E29" i="1"/>
  <c r="E33" i="1" s="1"/>
  <c r="E34" i="1" s="1"/>
  <c r="F15" i="3"/>
  <c r="E26" i="3"/>
  <c r="E30" i="3" s="1"/>
  <c r="E31" i="3" s="1"/>
  <c r="D30" i="3"/>
  <c r="D31" i="3" s="1"/>
  <c r="G21" i="1"/>
  <c r="F32" i="1"/>
  <c r="N19" i="1"/>
  <c r="N30" i="1" s="1"/>
  <c r="M30" i="1"/>
  <c r="G20" i="1"/>
  <c r="F31" i="1"/>
  <c r="G16" i="1"/>
  <c r="F26" i="1"/>
  <c r="F28" i="1" s="1"/>
  <c r="G15" i="1"/>
  <c r="F25" i="1"/>
  <c r="J17" i="1" l="1"/>
  <c r="I27" i="1"/>
  <c r="P30" i="1"/>
  <c r="F29" i="1"/>
  <c r="F33" i="1" s="1"/>
  <c r="F34" i="1" s="1"/>
  <c r="G18" i="1"/>
  <c r="F26" i="3"/>
  <c r="G15" i="3"/>
  <c r="H21" i="1"/>
  <c r="G32" i="1"/>
  <c r="H20" i="1"/>
  <c r="G31" i="1"/>
  <c r="H16" i="1"/>
  <c r="H26" i="1" s="1"/>
  <c r="G26" i="1"/>
  <c r="G28" i="1" s="1"/>
  <c r="H15" i="1"/>
  <c r="G25" i="1"/>
  <c r="C10" i="4" l="1"/>
  <c r="K17" i="1"/>
  <c r="K27" i="1" s="1"/>
  <c r="J27" i="1"/>
  <c r="I21" i="1"/>
  <c r="H32" i="1"/>
  <c r="H18" i="1"/>
  <c r="G29" i="1"/>
  <c r="G33" i="1" s="1"/>
  <c r="G34" i="1" s="1"/>
  <c r="H15" i="3"/>
  <c r="G26" i="3"/>
  <c r="G30" i="3" s="1"/>
  <c r="G31" i="3" s="1"/>
  <c r="F30" i="3"/>
  <c r="F31" i="3" s="1"/>
  <c r="I20" i="1"/>
  <c r="H31" i="1"/>
  <c r="I16" i="1"/>
  <c r="H28" i="1"/>
  <c r="I15" i="1"/>
  <c r="H25" i="1"/>
  <c r="E10" i="4" l="1"/>
  <c r="H26" i="3"/>
  <c r="I15" i="3"/>
  <c r="J21" i="1"/>
  <c r="I32" i="1"/>
  <c r="H29" i="1"/>
  <c r="H33" i="1" s="1"/>
  <c r="H34" i="1" s="1"/>
  <c r="I18" i="1"/>
  <c r="J20" i="1"/>
  <c r="I31" i="1"/>
  <c r="J16" i="1"/>
  <c r="I26" i="1"/>
  <c r="I28" i="1" s="1"/>
  <c r="J15" i="1"/>
  <c r="I25" i="1"/>
  <c r="I26" i="3" l="1"/>
  <c r="I30" i="3" s="1"/>
  <c r="I31" i="3" s="1"/>
  <c r="J15" i="3"/>
  <c r="H30" i="3"/>
  <c r="H31" i="3" s="1"/>
  <c r="I29" i="1"/>
  <c r="I33" i="1" s="1"/>
  <c r="I34" i="1" s="1"/>
  <c r="J18" i="1"/>
  <c r="K21" i="1"/>
  <c r="J32" i="1"/>
  <c r="K20" i="1"/>
  <c r="J31" i="1"/>
  <c r="K16" i="1"/>
  <c r="J26" i="1"/>
  <c r="J28" i="1" s="1"/>
  <c r="K15" i="1"/>
  <c r="J25" i="1"/>
  <c r="K18" i="1" l="1"/>
  <c r="J29" i="1"/>
  <c r="J33" i="1" s="1"/>
  <c r="J34" i="1" s="1"/>
  <c r="J26" i="3"/>
  <c r="K15" i="3"/>
  <c r="L21" i="1"/>
  <c r="K32" i="1"/>
  <c r="L20" i="1"/>
  <c r="K31" i="1"/>
  <c r="L16" i="1"/>
  <c r="K26" i="1"/>
  <c r="K28" i="1" s="1"/>
  <c r="L15" i="1"/>
  <c r="K25" i="1"/>
  <c r="L17" i="1"/>
  <c r="L27" i="1" s="1"/>
  <c r="J30" i="3" l="1"/>
  <c r="J31" i="3" s="1"/>
  <c r="M21" i="1"/>
  <c r="L32" i="1"/>
  <c r="K26" i="3"/>
  <c r="K30" i="3" s="1"/>
  <c r="K31" i="3" s="1"/>
  <c r="L15" i="3"/>
  <c r="K29" i="1"/>
  <c r="K33" i="1" s="1"/>
  <c r="K34" i="1" s="1"/>
  <c r="L18" i="1"/>
  <c r="M20" i="1"/>
  <c r="L31" i="1"/>
  <c r="M16" i="1"/>
  <c r="L26" i="1"/>
  <c r="L28" i="1" s="1"/>
  <c r="M17" i="1"/>
  <c r="M27" i="1" s="1"/>
  <c r="M15" i="1"/>
  <c r="L25" i="1"/>
  <c r="N21" i="1" l="1"/>
  <c r="N32" i="1" s="1"/>
  <c r="M32" i="1"/>
  <c r="M15" i="3"/>
  <c r="L26" i="3"/>
  <c r="L29" i="1"/>
  <c r="L33" i="1" s="1"/>
  <c r="L34" i="1" s="1"/>
  <c r="M18" i="1"/>
  <c r="N20" i="1"/>
  <c r="N31" i="1" s="1"/>
  <c r="M31" i="1"/>
  <c r="N16" i="1"/>
  <c r="M26" i="1"/>
  <c r="M28" i="1" s="1"/>
  <c r="N15" i="1"/>
  <c r="M25" i="1"/>
  <c r="N17" i="1"/>
  <c r="N27" i="1" s="1"/>
  <c r="N15" i="3" l="1"/>
  <c r="N26" i="3" s="1"/>
  <c r="N30" i="3" s="1"/>
  <c r="N31" i="3" s="1"/>
  <c r="M26" i="3"/>
  <c r="M30" i="3" s="1"/>
  <c r="M31" i="3" s="1"/>
  <c r="N18" i="1"/>
  <c r="N29" i="1" s="1"/>
  <c r="M29" i="1"/>
  <c r="L30" i="3"/>
  <c r="L31" i="3" s="1"/>
  <c r="O16" i="1"/>
  <c r="O26" i="1" s="1"/>
  <c r="N26" i="1"/>
  <c r="N28" i="1" s="1"/>
  <c r="O17" i="1"/>
  <c r="O27" i="1" s="1"/>
  <c r="P27" i="1" s="1"/>
  <c r="O15" i="1"/>
  <c r="O25" i="1" s="1"/>
  <c r="N25" i="1"/>
  <c r="C7" i="4" l="1"/>
  <c r="P26" i="3"/>
  <c r="D9" i="4" s="1"/>
  <c r="O28" i="1"/>
  <c r="O33" i="1" s="1"/>
  <c r="O34" i="1" s="1"/>
  <c r="N33" i="1"/>
  <c r="N34" i="1" s="1"/>
  <c r="P29" i="1"/>
  <c r="M33" i="1"/>
  <c r="M34" i="1" s="1"/>
  <c r="P30" i="3"/>
  <c r="P26" i="1"/>
  <c r="P25" i="1"/>
  <c r="C5" i="4" s="1"/>
  <c r="E5" i="4" s="1"/>
  <c r="P31" i="1"/>
  <c r="D13" i="4" l="1"/>
  <c r="D14" i="4" s="1"/>
  <c r="P31" i="3"/>
  <c r="E7" i="4"/>
  <c r="C11" i="4"/>
  <c r="C9" i="4"/>
  <c r="C6" i="4"/>
  <c r="P28" i="1"/>
  <c r="P33" i="1"/>
  <c r="P32" i="1"/>
  <c r="E11" i="4" l="1"/>
  <c r="E6" i="4"/>
  <c r="E9" i="4"/>
  <c r="C12" i="4"/>
  <c r="C13" i="4"/>
  <c r="P34" i="1"/>
  <c r="C8" i="4"/>
  <c r="E12" i="4" l="1"/>
  <c r="E8" i="4"/>
  <c r="E13" i="4"/>
  <c r="C14" i="4"/>
  <c r="E14" i="4" l="1"/>
  <c r="F13" i="4"/>
</calcChain>
</file>

<file path=xl/comments1.xml><?xml version="1.0" encoding="utf-8"?>
<comments xmlns="http://schemas.openxmlformats.org/spreadsheetml/2006/main">
  <authors>
    <author>Shirley Salvoldi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Eskom</t>
        </r>
        <r>
          <rPr>
            <sz val="9"/>
            <color indexed="81"/>
            <rFont val="Tahoma"/>
            <family val="2"/>
          </rPr>
          <t xml:space="preserve">
Insert the monthly consumption</t>
        </r>
      </text>
    </comment>
  </commentList>
</comments>
</file>

<file path=xl/sharedStrings.xml><?xml version="1.0" encoding="utf-8"?>
<sst xmlns="http://schemas.openxmlformats.org/spreadsheetml/2006/main" count="246" uniqueCount="113">
  <si>
    <t>Existing tariff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</si>
  <si>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</si>
  <si>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</si>
  <si>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</si>
  <si>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</si>
  <si>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</si>
  <si>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</si>
  <si>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</si>
  <si>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</si>
  <si>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</si>
  <si>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</si>
  <si>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</si>
  <si>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</si>
  <si>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No. of days in billing month</t>
  </si>
  <si>
    <t>Unit</t>
  </si>
  <si>
    <t>Total energy consumed</t>
  </si>
  <si>
    <t>kWh</t>
  </si>
  <si>
    <t>Network capacity charge</t>
  </si>
  <si>
    <t>Network demand charge</t>
  </si>
  <si>
    <t>c/kWh</t>
  </si>
  <si>
    <t>Energy charge</t>
  </si>
  <si>
    <t>Ancillary service charge</t>
  </si>
  <si>
    <t>R/day</t>
  </si>
  <si>
    <t>Energy charge block 2</t>
  </si>
  <si>
    <t>Energy charge block 1</t>
  </si>
  <si>
    <t>Service and administration charge</t>
  </si>
  <si>
    <t>Existing tariff Group</t>
  </si>
  <si>
    <t>Homepower</t>
  </si>
  <si>
    <t>Landrate</t>
  </si>
  <si>
    <t>R/POD/day</t>
  </si>
  <si>
    <t>Total</t>
  </si>
  <si>
    <t>Municrate</t>
  </si>
  <si>
    <t>Comparison</t>
  </si>
  <si>
    <t>% Difference</t>
  </si>
  <si>
    <t>Difference</t>
  </si>
  <si>
    <t>New</t>
  </si>
  <si>
    <t>kWh/m</t>
  </si>
  <si>
    <t xml:space="preserve">Existing </t>
  </si>
  <si>
    <t>Lookups</t>
  </si>
  <si>
    <t>Inputs</t>
  </si>
  <si>
    <t>Selection</t>
  </si>
  <si>
    <t>Output/calculation</t>
  </si>
  <si>
    <t>Legend</t>
  </si>
  <si>
    <t xml:space="preserve">R/month comparison at different consumption levels </t>
  </si>
  <si>
    <t>Average c/kWh</t>
  </si>
  <si>
    <t>Total IBT energy (Homepower only)</t>
  </si>
  <si>
    <t>Chose the current tariff below</t>
  </si>
  <si>
    <t>Existing tariff worksheet</t>
  </si>
  <si>
    <t>Cell C2, select the existing tariff category</t>
  </si>
  <si>
    <t>Landrate  1</t>
  </si>
  <si>
    <t>25 kVA</t>
  </si>
  <si>
    <t>Businessrate 1</t>
  </si>
  <si>
    <t>√</t>
  </si>
  <si>
    <t>50 kVA</t>
  </si>
  <si>
    <t>Landrate  2</t>
  </si>
  <si>
    <t>Businessrate 2</t>
  </si>
  <si>
    <t>Homepower 1</t>
  </si>
  <si>
    <t>Homepower 2</t>
  </si>
  <si>
    <t>Landrate  3</t>
  </si>
  <si>
    <t>Homepower 3</t>
  </si>
  <si>
    <t>Landrate  4</t>
  </si>
  <si>
    <t>Homepower 4</t>
  </si>
  <si>
    <t>100 kVA</t>
  </si>
  <si>
    <t>16 kVA</t>
  </si>
  <si>
    <t>Businessrate 3</t>
  </si>
  <si>
    <t>Businessrate 4</t>
  </si>
  <si>
    <t>New tariff worksheet</t>
  </si>
  <si>
    <t>Gives the results on Municrate (Businessrate)</t>
  </si>
  <si>
    <t>Row 9, enter the monthly consumption</t>
  </si>
  <si>
    <t>Comparison worksheet</t>
  </si>
  <si>
    <t>Comp at different consumption levels worksheet</t>
  </si>
  <si>
    <t>Instructions</t>
  </si>
  <si>
    <t>Local authority tariffs</t>
  </si>
  <si>
    <t>Energy Charge c/kWh</t>
  </si>
  <si>
    <t>Ancillary service charge c/kWh</t>
  </si>
  <si>
    <t>NDC c/kWh</t>
  </si>
  <si>
    <t>NCC R/POD/day</t>
  </si>
  <si>
    <t>Service and admin charge R/POD/day</t>
  </si>
  <si>
    <t>ERS charge</t>
  </si>
  <si>
    <t>Public Lighting munic</t>
  </si>
  <si>
    <t>All night</t>
  </si>
  <si>
    <t>R/100W/month</t>
  </si>
  <si>
    <t>All night c/kWh</t>
  </si>
  <si>
    <t>24 hours c/kWh</t>
  </si>
  <si>
    <t>Fixed charge R/day</t>
  </si>
  <si>
    <t>Maintenance charge</t>
  </si>
  <si>
    <t>Per luminaire</t>
  </si>
  <si>
    <t>Per High mast luminaire</t>
  </si>
  <si>
    <t>Businessrate</t>
  </si>
  <si>
    <t>Energy Charge c/kWh 1st block</t>
  </si>
  <si>
    <t>Energy Charge c/kWh 2nd block</t>
  </si>
  <si>
    <t>NDC</t>
  </si>
  <si>
    <t>NCC</t>
  </si>
  <si>
    <t>ERS</t>
  </si>
  <si>
    <t>Energy 1</t>
  </si>
  <si>
    <t>Energy 2</t>
  </si>
  <si>
    <t>AS</t>
  </si>
  <si>
    <t>Service and admin</t>
  </si>
  <si>
    <t>Average kWh</t>
  </si>
  <si>
    <t>Notified maximum demand</t>
  </si>
  <si>
    <t>Compares the current tariff with Municflex in 2019/20 Rand value</t>
  </si>
  <si>
    <t>Compares the current tariff with Muniflex at different consumption levels</t>
  </si>
  <si>
    <t>All rates are in 2019/20 R value and exclude VAT</t>
  </si>
  <si>
    <t xml:space="preserve">The purpose of this model is to compare actual consumption on the local-authority current and revised tariffs </t>
  </si>
  <si>
    <t>NMD on the bill</t>
  </si>
  <si>
    <t>Current tariff Group</t>
  </si>
  <si>
    <t>Current sub-tariff based on NMD</t>
  </si>
  <si>
    <t>Please select tariff</t>
  </si>
  <si>
    <t>Please select the correct NMD*</t>
  </si>
  <si>
    <t>*Note for Businessrate 4, 25 kVA and 16 kVA options are possible, but for the purposes of this model select 16 kVA.</t>
  </si>
  <si>
    <t>R Difference</t>
  </si>
  <si>
    <t>List</t>
  </si>
  <si>
    <t>Cell C3, insert NMD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</si>
</sst>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R&quot;\ #,##0;[Red]&quot;R&quot;\ \-#,##0"/>
    <numFmt numFmtId="165" formatCode="_ &quot;R&quot;\ * #,##0_ ;_ &quot;R&quot;\ * \-#,##0_ ;_ &quot;R&quot;\ * &quot;-&quot;_ ;_ @_ "/>
    <numFmt numFmtId="166" formatCode="_ &quot;R&quot;\ * #,##0.00_ ;_ &quot;R&quot;\ * \-#,##0.00_ ;_ &quot;R&quot;\ * &quot;-&quot;??_ ;_ @_ "/>
    <numFmt numFmtId="167" formatCode="&quot;R &quot;#,##0"/>
    <numFmt numFmtId="168" formatCode="_ &quot;R&quot;\ * #,##0_ ;_ &quot;R&quot;\ * \-#,##0_ ;_ &quot;R&quot;\ * &quot;-&quot;??_ ;_ @_ "/>
    <numFmt numFmtId="169" formatCode="#,##0&quot;kWh&quot;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color rgb="FF800080"/>
      <name val="Arial"/>
      <family val="2"/>
    </font>
    <font>
      <b/>
      <sz val="9"/>
      <color indexed="81"/>
      <name val="Tahoma"/>
      <family val="2"/>
    </font>
    <font>
      <b/>
      <sz val="9"/>
      <color indexed="9"/>
      <name val="Verdana"/>
      <family val="2"/>
    </font>
    <font>
      <b/>
      <sz val="9"/>
      <color rgb="FF7030A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b/>
      <sz val="12"/>
      <color theme="4"/>
      <name val="Arial Narrow"/>
      <family val="2"/>
    </font>
    <font>
      <b/>
      <sz val="12"/>
      <color theme="4" tint="-0.249977111117893"/>
      <name val="Arial Narrow"/>
      <family val="2"/>
    </font>
    <font>
      <b/>
      <sz val="10"/>
      <color theme="4" tint="-0.249977111117893"/>
      <name val="Arial Narrow"/>
      <family val="2"/>
    </font>
    <font>
      <sz val="10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0"/>
      <color rgb="FF800080"/>
      <name val="Arial"/>
      <family val="2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 style="thin">
        <color indexed="64"/>
      </left>
      <right style="thin">
        <color indexed="64"/>
      </right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249977111117893"/>
      </left>
      <right/>
      <top style="thin">
        <color indexed="64"/>
      </top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2" fillId="11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0" borderId="0"/>
  </cellStyleXfs>
  <cellXfs count="200">
    <xf numFmtId="0" fontId="0" fillId="0" borderId="0" xfId="0"/>
    <xf numFmtId="167" fontId="0" fillId="0" borderId="0" xfId="0" applyNumberFormat="1"/>
    <xf numFmtId="0" fontId="3" fillId="0" borderId="0" xfId="3" applyFont="1" applyProtection="1"/>
    <xf numFmtId="0" fontId="2" fillId="0" borderId="0" xfId="3" applyProtection="1"/>
    <xf numFmtId="0" fontId="4" fillId="4" borderId="12" xfId="3" applyFont="1" applyFill="1" applyBorder="1" applyAlignment="1" applyProtection="1">
      <alignment horizontal="center"/>
    </xf>
    <xf numFmtId="0" fontId="4" fillId="4" borderId="13" xfId="3" applyFont="1" applyFill="1" applyBorder="1" applyAlignment="1" applyProtection="1">
      <alignment horizontal="center"/>
    </xf>
    <xf numFmtId="0" fontId="4" fillId="4" borderId="14" xfId="3" applyFont="1" applyFill="1" applyBorder="1" applyAlignment="1" applyProtection="1">
      <alignment horizontal="center"/>
    </xf>
    <xf numFmtId="2" fontId="5" fillId="3" borderId="17" xfId="3" applyNumberFormat="1" applyFont="1" applyFill="1" applyBorder="1" applyAlignment="1" applyProtection="1">
      <alignment horizontal="right"/>
    </xf>
    <xf numFmtId="2" fontId="5" fillId="3" borderId="18" xfId="3" applyNumberFormat="1" applyFont="1" applyFill="1" applyBorder="1" applyAlignment="1" applyProtection="1">
      <alignment horizontal="right"/>
    </xf>
    <xf numFmtId="2" fontId="5" fillId="3" borderId="19" xfId="3" applyNumberFormat="1" applyFont="1" applyFill="1" applyBorder="1" applyAlignment="1" applyProtection="1">
      <alignment horizontal="right"/>
    </xf>
    <xf numFmtId="0" fontId="2" fillId="6" borderId="8" xfId="3" applyFont="1" applyFill="1" applyBorder="1" applyAlignment="1" applyProtection="1">
      <alignment horizontal="left" vertical="center"/>
    </xf>
    <xf numFmtId="2" fontId="5" fillId="3" borderId="20" xfId="3" applyNumberFormat="1" applyFont="1" applyFill="1" applyBorder="1" applyAlignment="1" applyProtection="1">
      <alignment horizontal="right"/>
    </xf>
    <xf numFmtId="2" fontId="5" fillId="3" borderId="21" xfId="3" applyNumberFormat="1" applyFont="1" applyFill="1" applyBorder="1" applyAlignment="1" applyProtection="1">
      <alignment horizontal="right"/>
    </xf>
    <xf numFmtId="2" fontId="5" fillId="3" borderId="22" xfId="3" applyNumberFormat="1" applyFont="1" applyFill="1" applyBorder="1" applyAlignment="1" applyProtection="1">
      <alignment horizontal="right"/>
    </xf>
    <xf numFmtId="2" fontId="5" fillId="3" borderId="20" xfId="3" quotePrefix="1" applyNumberFormat="1" applyFont="1" applyFill="1" applyBorder="1" applyAlignment="1" applyProtection="1">
      <alignment horizontal="right"/>
    </xf>
    <xf numFmtId="0" fontId="2" fillId="6" borderId="26" xfId="3" applyFont="1" applyFill="1" applyBorder="1" applyAlignment="1" applyProtection="1">
      <alignment horizontal="left" vertical="center"/>
    </xf>
    <xf numFmtId="2" fontId="5" fillId="3" borderId="27" xfId="3" applyNumberFormat="1" applyFont="1" applyFill="1" applyBorder="1" applyAlignment="1" applyProtection="1">
      <alignment horizontal="right"/>
    </xf>
    <xf numFmtId="2" fontId="5" fillId="3" borderId="28" xfId="3" applyNumberFormat="1" applyFont="1" applyFill="1" applyBorder="1" applyAlignment="1" applyProtection="1">
      <alignment horizontal="right"/>
    </xf>
    <xf numFmtId="2" fontId="5" fillId="3" borderId="29" xfId="3" applyNumberFormat="1" applyFont="1" applyFill="1" applyBorder="1" applyAlignment="1" applyProtection="1">
      <alignment horizontal="right"/>
    </xf>
    <xf numFmtId="0" fontId="2" fillId="6" borderId="17" xfId="3" applyFont="1" applyFill="1" applyBorder="1" applyProtection="1"/>
    <xf numFmtId="0" fontId="2" fillId="6" borderId="24" xfId="3" applyFont="1" applyFill="1" applyBorder="1" applyProtection="1"/>
    <xf numFmtId="0" fontId="2" fillId="6" borderId="24" xfId="3" applyFont="1" applyFill="1" applyBorder="1" applyAlignment="1" applyProtection="1">
      <alignment horizontal="left" vertical="center"/>
    </xf>
    <xf numFmtId="0" fontId="2" fillId="6" borderId="31" xfId="3" applyFont="1" applyFill="1" applyBorder="1" applyAlignment="1" applyProtection="1">
      <alignment horizontal="left" vertical="center"/>
    </xf>
    <xf numFmtId="0" fontId="4" fillId="4" borderId="32" xfId="3" applyFont="1" applyFill="1" applyBorder="1" applyAlignment="1" applyProtection="1">
      <alignment horizontal="center"/>
    </xf>
    <xf numFmtId="0" fontId="2" fillId="6" borderId="17" xfId="3" quotePrefix="1" applyFill="1" applyBorder="1" applyProtection="1"/>
    <xf numFmtId="0" fontId="2" fillId="3" borderId="18" xfId="3" applyFill="1" applyBorder="1" applyProtection="1"/>
    <xf numFmtId="0" fontId="2" fillId="3" borderId="19" xfId="3" applyFill="1" applyBorder="1" applyProtection="1"/>
    <xf numFmtId="0" fontId="4" fillId="6" borderId="31" xfId="3" quotePrefix="1" applyFont="1" applyFill="1" applyBorder="1" applyProtection="1"/>
    <xf numFmtId="0" fontId="0" fillId="3" borderId="30" xfId="0" applyFill="1" applyBorder="1"/>
    <xf numFmtId="0" fontId="4" fillId="5" borderId="12" xfId="3" applyFont="1" applyFill="1" applyBorder="1" applyAlignment="1" applyProtection="1">
      <alignment horizontal="center"/>
    </xf>
    <xf numFmtId="0" fontId="4" fillId="5" borderId="9" xfId="3" applyFont="1" applyFill="1" applyBorder="1" applyAlignment="1" applyProtection="1">
      <alignment horizontal="center"/>
    </xf>
    <xf numFmtId="0" fontId="2" fillId="6" borderId="18" xfId="3" applyFont="1" applyFill="1" applyBorder="1" applyProtection="1"/>
    <xf numFmtId="165" fontId="2" fillId="5" borderId="17" xfId="4" applyNumberFormat="1" applyFont="1" applyFill="1" applyBorder="1" applyProtection="1"/>
    <xf numFmtId="165" fontId="2" fillId="5" borderId="15" xfId="4" applyNumberFormat="1" applyFont="1" applyFill="1" applyBorder="1" applyProtection="1"/>
    <xf numFmtId="0" fontId="2" fillId="6" borderId="7" xfId="3" applyFont="1" applyFill="1" applyBorder="1" applyProtection="1"/>
    <xf numFmtId="165" fontId="2" fillId="5" borderId="10" xfId="4" applyNumberFormat="1" applyFont="1" applyFill="1" applyBorder="1" applyProtection="1"/>
    <xf numFmtId="165" fontId="2" fillId="5" borderId="34" xfId="4" applyNumberFormat="1" applyFont="1" applyFill="1" applyBorder="1" applyProtection="1"/>
    <xf numFmtId="0" fontId="2" fillId="6" borderId="32" xfId="3" applyFont="1" applyFill="1" applyBorder="1" applyProtection="1"/>
    <xf numFmtId="165" fontId="2" fillId="5" borderId="35" xfId="4" applyNumberFormat="1" applyFont="1" applyFill="1" applyBorder="1" applyProtection="1"/>
    <xf numFmtId="0" fontId="2" fillId="6" borderId="31" xfId="3" applyFont="1" applyFill="1" applyBorder="1" applyProtection="1"/>
    <xf numFmtId="0" fontId="2" fillId="6" borderId="33" xfId="3" applyFont="1" applyFill="1" applyBorder="1" applyProtection="1"/>
    <xf numFmtId="165" fontId="4" fillId="5" borderId="25" xfId="4" applyNumberFormat="1" applyFont="1" applyFill="1" applyBorder="1" applyProtection="1"/>
    <xf numFmtId="0" fontId="2" fillId="6" borderId="12" xfId="3" applyFont="1" applyFill="1" applyBorder="1" applyProtection="1"/>
    <xf numFmtId="0" fontId="2" fillId="6" borderId="13" xfId="3" applyFont="1" applyFill="1" applyBorder="1" applyProtection="1"/>
    <xf numFmtId="165" fontId="2" fillId="5" borderId="9" xfId="4" applyNumberFormat="1" applyFont="1" applyFill="1" applyBorder="1" applyProtection="1"/>
    <xf numFmtId="0" fontId="2" fillId="6" borderId="20" xfId="3" applyFont="1" applyFill="1" applyBorder="1" applyProtection="1"/>
    <xf numFmtId="0" fontId="2" fillId="6" borderId="23" xfId="3" applyFont="1" applyFill="1" applyBorder="1" applyProtection="1"/>
    <xf numFmtId="165" fontId="2" fillId="5" borderId="4" xfId="4" applyNumberFormat="1" applyFont="1" applyFill="1" applyBorder="1" applyProtection="1"/>
    <xf numFmtId="165" fontId="2" fillId="5" borderId="6" xfId="4" applyNumberFormat="1" applyFont="1" applyFill="1" applyBorder="1" applyProtection="1"/>
    <xf numFmtId="165" fontId="2" fillId="5" borderId="37" xfId="4" applyNumberFormat="1" applyFont="1" applyFill="1" applyBorder="1" applyProtection="1"/>
    <xf numFmtId="165" fontId="2" fillId="5" borderId="12" xfId="4" applyNumberFormat="1" applyFont="1" applyFill="1" applyBorder="1" applyProtection="1"/>
    <xf numFmtId="0" fontId="0" fillId="0" borderId="30" xfId="0" applyBorder="1" applyAlignment="1">
      <alignment horizontal="left" indent="3"/>
    </xf>
    <xf numFmtId="2" fontId="5" fillId="8" borderId="20" xfId="3" applyNumberFormat="1" applyFont="1" applyFill="1" applyBorder="1" applyAlignment="1" applyProtection="1">
      <alignment horizontal="right"/>
    </xf>
    <xf numFmtId="2" fontId="5" fillId="8" borderId="21" xfId="3" applyNumberFormat="1" applyFont="1" applyFill="1" applyBorder="1" applyAlignment="1" applyProtection="1">
      <alignment horizontal="right"/>
    </xf>
    <xf numFmtId="2" fontId="5" fillId="8" borderId="22" xfId="3" applyNumberFormat="1" applyFont="1" applyFill="1" applyBorder="1" applyAlignment="1" applyProtection="1">
      <alignment horizontal="right"/>
    </xf>
    <xf numFmtId="0" fontId="4" fillId="9" borderId="1" xfId="0" applyFont="1" applyFill="1" applyBorder="1"/>
    <xf numFmtId="0" fontId="4" fillId="9" borderId="30" xfId="0" applyFont="1" applyFill="1" applyBorder="1" applyAlignment="1">
      <alignment horizontal="center" wrapText="1"/>
    </xf>
    <xf numFmtId="0" fontId="4" fillId="9" borderId="2" xfId="0" applyFont="1" applyFill="1" applyBorder="1" applyAlignment="1">
      <alignment horizontal="center"/>
    </xf>
    <xf numFmtId="0" fontId="4" fillId="9" borderId="30" xfId="0" applyFont="1" applyFill="1" applyBorder="1" applyAlignment="1">
      <alignment horizontal="center"/>
    </xf>
    <xf numFmtId="0" fontId="0" fillId="0" borderId="11" xfId="0" applyBorder="1"/>
    <xf numFmtId="0" fontId="0" fillId="0" borderId="3" xfId="0" applyBorder="1"/>
    <xf numFmtId="9" fontId="0" fillId="0" borderId="11" xfId="2" applyFont="1" applyBorder="1"/>
    <xf numFmtId="0" fontId="0" fillId="0" borderId="30" xfId="0" applyBorder="1"/>
    <xf numFmtId="164" fontId="0" fillId="0" borderId="3" xfId="0" applyNumberFormat="1" applyBorder="1"/>
    <xf numFmtId="168" fontId="0" fillId="0" borderId="0" xfId="1" applyNumberFormat="1" applyFont="1"/>
    <xf numFmtId="0" fontId="2" fillId="6" borderId="16" xfId="3" quotePrefix="1" applyFont="1" applyFill="1" applyBorder="1" applyProtection="1"/>
    <xf numFmtId="0" fontId="4" fillId="6" borderId="26" xfId="3" quotePrefix="1" applyFont="1" applyFill="1" applyBorder="1" applyProtection="1"/>
    <xf numFmtId="0" fontId="2" fillId="3" borderId="17" xfId="3" applyFill="1" applyBorder="1" applyProtection="1"/>
    <xf numFmtId="0" fontId="2" fillId="3" borderId="36" xfId="3" applyFill="1" applyBorder="1" applyProtection="1"/>
    <xf numFmtId="0" fontId="2" fillId="3" borderId="38" xfId="3" applyFill="1" applyBorder="1" applyProtection="1"/>
    <xf numFmtId="0" fontId="2" fillId="3" borderId="39" xfId="3" applyFill="1" applyBorder="1" applyProtection="1"/>
    <xf numFmtId="0" fontId="0" fillId="9" borderId="0" xfId="0" applyFill="1"/>
    <xf numFmtId="0" fontId="8" fillId="0" borderId="7" xfId="0" applyFont="1" applyFill="1" applyBorder="1" applyProtection="1"/>
    <xf numFmtId="0" fontId="7" fillId="7" borderId="7" xfId="0" applyFont="1" applyFill="1" applyBorder="1" applyAlignment="1" applyProtection="1"/>
    <xf numFmtId="168" fontId="4" fillId="5" borderId="7" xfId="3" applyNumberFormat="1" applyFont="1" applyFill="1" applyBorder="1" applyAlignment="1" applyProtection="1"/>
    <xf numFmtId="0" fontId="9" fillId="10" borderId="7" xfId="0" applyFont="1" applyFill="1" applyBorder="1" applyAlignment="1" applyProtection="1"/>
    <xf numFmtId="2" fontId="11" fillId="2" borderId="20" xfId="3" applyNumberFormat="1" applyFont="1" applyFill="1" applyBorder="1" applyAlignment="1" applyProtection="1">
      <alignment horizontal="right"/>
    </xf>
    <xf numFmtId="2" fontId="0" fillId="0" borderId="0" xfId="0" applyNumberFormat="1"/>
    <xf numFmtId="0" fontId="4" fillId="4" borderId="40" xfId="3" applyFont="1" applyFill="1" applyBorder="1" applyAlignment="1" applyProtection="1">
      <alignment horizontal="center"/>
    </xf>
    <xf numFmtId="0" fontId="4" fillId="5" borderId="30" xfId="3" applyFont="1" applyFill="1" applyBorder="1" applyAlignment="1" applyProtection="1">
      <alignment horizontal="center"/>
    </xf>
    <xf numFmtId="165" fontId="2" fillId="3" borderId="0" xfId="4" applyNumberFormat="1" applyFont="1" applyFill="1" applyBorder="1" applyProtection="1"/>
    <xf numFmtId="3" fontId="4" fillId="5" borderId="30" xfId="4" applyNumberFormat="1" applyFont="1" applyFill="1" applyBorder="1" applyProtection="1"/>
    <xf numFmtId="10" fontId="4" fillId="0" borderId="0" xfId="0" applyNumberFormat="1" applyFont="1" applyBorder="1"/>
    <xf numFmtId="9" fontId="4" fillId="0" borderId="0" xfId="0" applyNumberFormat="1" applyFont="1" applyBorder="1"/>
    <xf numFmtId="164" fontId="0" fillId="0" borderId="11" xfId="0" applyNumberFormat="1" applyBorder="1"/>
    <xf numFmtId="2" fontId="0" fillId="0" borderId="28" xfId="0" applyNumberFormat="1" applyBorder="1"/>
    <xf numFmtId="164" fontId="0" fillId="0" borderId="30" xfId="0" applyNumberFormat="1" applyBorder="1"/>
    <xf numFmtId="164" fontId="0" fillId="0" borderId="2" xfId="0" applyNumberFormat="1" applyBorder="1"/>
    <xf numFmtId="10" fontId="0" fillId="0" borderId="2" xfId="2" applyNumberFormat="1" applyFont="1" applyBorder="1"/>
    <xf numFmtId="0" fontId="0" fillId="0" borderId="9" xfId="0" applyBorder="1"/>
    <xf numFmtId="2" fontId="0" fillId="0" borderId="42" xfId="0" applyNumberFormat="1" applyBorder="1"/>
    <xf numFmtId="0" fontId="0" fillId="0" borderId="41" xfId="0" applyBorder="1"/>
    <xf numFmtId="9" fontId="0" fillId="0" borderId="30" xfId="2" applyFont="1" applyBorder="1"/>
    <xf numFmtId="2" fontId="11" fillId="2" borderId="27" xfId="3" quotePrefix="1" applyNumberFormat="1" applyFont="1" applyFill="1" applyBorder="1" applyAlignment="1" applyProtection="1">
      <alignment horizontal="right"/>
    </xf>
    <xf numFmtId="2" fontId="11" fillId="2" borderId="41" xfId="3" quotePrefix="1" applyNumberFormat="1" applyFont="1" applyFill="1" applyBorder="1" applyAlignment="1" applyProtection="1">
      <alignment horizontal="right"/>
    </xf>
    <xf numFmtId="165" fontId="2" fillId="5" borderId="43" xfId="4" applyNumberFormat="1" applyFont="1" applyFill="1" applyBorder="1" applyProtection="1"/>
    <xf numFmtId="165" fontId="4" fillId="5" borderId="44" xfId="4" applyNumberFormat="1" applyFont="1" applyFill="1" applyBorder="1" applyProtection="1"/>
    <xf numFmtId="165" fontId="2" fillId="5" borderId="2" xfId="4" applyNumberFormat="1" applyFont="1" applyFill="1" applyBorder="1" applyProtection="1"/>
    <xf numFmtId="0" fontId="14" fillId="0" borderId="0" xfId="0" applyFont="1"/>
    <xf numFmtId="0" fontId="0" fillId="9" borderId="0" xfId="0" applyFill="1" applyBorder="1"/>
    <xf numFmtId="0" fontId="16" fillId="9" borderId="0" xfId="0" applyFont="1" applyFill="1" applyBorder="1" applyAlignment="1">
      <alignment horizontal="center"/>
    </xf>
    <xf numFmtId="0" fontId="0" fillId="9" borderId="5" xfId="0" applyFill="1" applyBorder="1"/>
    <xf numFmtId="0" fontId="16" fillId="9" borderId="5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0" fillId="9" borderId="45" xfId="0" applyFill="1" applyBorder="1"/>
    <xf numFmtId="0" fontId="16" fillId="9" borderId="45" xfId="0" applyFont="1" applyFill="1" applyBorder="1" applyAlignment="1">
      <alignment horizontal="center"/>
    </xf>
    <xf numFmtId="0" fontId="13" fillId="0" borderId="0" xfId="0" applyFont="1"/>
    <xf numFmtId="0" fontId="17" fillId="0" borderId="0" xfId="6"/>
    <xf numFmtId="0" fontId="18" fillId="13" borderId="0" xfId="6" applyFont="1" applyFill="1"/>
    <xf numFmtId="0" fontId="1" fillId="0" borderId="0" xfId="0" applyFont="1"/>
    <xf numFmtId="0" fontId="18" fillId="9" borderId="0" xfId="6" applyFont="1" applyFill="1"/>
    <xf numFmtId="0" fontId="18" fillId="12" borderId="0" xfId="6" applyFont="1" applyFill="1"/>
    <xf numFmtId="0" fontId="19" fillId="14" borderId="0" xfId="6" applyFont="1" applyFill="1"/>
    <xf numFmtId="0" fontId="0" fillId="0" borderId="0" xfId="0" applyAlignment="1">
      <alignment vertical="center" wrapText="1"/>
    </xf>
    <xf numFmtId="0" fontId="20" fillId="0" borderId="49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0" borderId="50" xfId="0" applyBorder="1"/>
    <xf numFmtId="0" fontId="21" fillId="0" borderId="51" xfId="0" applyFont="1" applyFill="1" applyBorder="1" applyAlignment="1">
      <alignment horizontal="center"/>
    </xf>
    <xf numFmtId="0" fontId="22" fillId="0" borderId="52" xfId="7" applyFont="1" applyFill="1" applyBorder="1" applyAlignment="1">
      <alignment horizontal="center" vertical="center" wrapText="1"/>
    </xf>
    <xf numFmtId="0" fontId="22" fillId="0" borderId="53" xfId="7" applyFont="1" applyFill="1" applyBorder="1" applyAlignment="1">
      <alignment horizontal="center" vertical="center" wrapText="1"/>
    </xf>
    <xf numFmtId="0" fontId="22" fillId="0" borderId="54" xfId="7" applyFont="1" applyFill="1" applyBorder="1" applyAlignment="1">
      <alignment horizontal="center" vertical="center" wrapText="1"/>
    </xf>
    <xf numFmtId="0" fontId="22" fillId="0" borderId="0" xfId="7" applyFont="1" applyFill="1" applyBorder="1" applyAlignment="1">
      <alignment horizontal="center" vertical="center" wrapText="1"/>
    </xf>
    <xf numFmtId="0" fontId="22" fillId="0" borderId="55" xfId="7" applyFont="1" applyFill="1" applyBorder="1" applyAlignment="1">
      <alignment horizontal="right" vertical="center"/>
    </xf>
    <xf numFmtId="2" fontId="23" fillId="0" borderId="57" xfId="0" applyNumberFormat="1" applyFont="1" applyFill="1" applyBorder="1"/>
    <xf numFmtId="0" fontId="23" fillId="0" borderId="0" xfId="0" applyFont="1" applyFill="1" applyBorder="1"/>
    <xf numFmtId="0" fontId="0" fillId="0" borderId="0" xfId="0" applyBorder="1"/>
    <xf numFmtId="0" fontId="22" fillId="0" borderId="58" xfId="7" applyFont="1" applyFill="1" applyBorder="1" applyAlignment="1">
      <alignment horizontal="right" vertical="center"/>
    </xf>
    <xf numFmtId="2" fontId="23" fillId="0" borderId="60" xfId="0" applyNumberFormat="1" applyFont="1" applyFill="1" applyBorder="1"/>
    <xf numFmtId="0" fontId="0" fillId="0" borderId="49" xfId="0" applyBorder="1"/>
    <xf numFmtId="0" fontId="21" fillId="0" borderId="51" xfId="0" applyFont="1" applyFill="1" applyBorder="1"/>
    <xf numFmtId="0" fontId="22" fillId="0" borderId="61" xfId="7" applyFont="1" applyFill="1" applyBorder="1" applyAlignment="1">
      <alignment horizontal="center" vertical="center" wrapText="1"/>
    </xf>
    <xf numFmtId="0" fontId="23" fillId="0" borderId="62" xfId="0" applyFont="1" applyFill="1" applyBorder="1"/>
    <xf numFmtId="0" fontId="0" fillId="0" borderId="63" xfId="0" applyBorder="1"/>
    <xf numFmtId="0" fontId="0" fillId="0" borderId="64" xfId="0" applyBorder="1"/>
    <xf numFmtId="4" fontId="23" fillId="0" borderId="56" xfId="0" applyNumberFormat="1" applyFont="1" applyFill="1" applyBorder="1"/>
    <xf numFmtId="4" fontId="23" fillId="0" borderId="59" xfId="0" applyNumberFormat="1" applyFont="1" applyFill="1" applyBorder="1"/>
    <xf numFmtId="4" fontId="23" fillId="0" borderId="57" xfId="0" applyNumberFormat="1" applyFont="1" applyFill="1" applyBorder="1"/>
    <xf numFmtId="4" fontId="23" fillId="0" borderId="60" xfId="0" applyNumberFormat="1" applyFont="1" applyFill="1" applyBorder="1"/>
    <xf numFmtId="0" fontId="0" fillId="0" borderId="56" xfId="0" applyBorder="1"/>
    <xf numFmtId="0" fontId="0" fillId="0" borderId="65" xfId="0" applyBorder="1"/>
    <xf numFmtId="0" fontId="0" fillId="16" borderId="56" xfId="0" applyFill="1" applyBorder="1"/>
    <xf numFmtId="2" fontId="23" fillId="0" borderId="56" xfId="0" applyNumberFormat="1" applyFont="1" applyFill="1" applyBorder="1"/>
    <xf numFmtId="2" fontId="23" fillId="0" borderId="59" xfId="0" applyNumberFormat="1" applyFont="1" applyFill="1" applyBorder="1"/>
    <xf numFmtId="0" fontId="0" fillId="0" borderId="0" xfId="0" applyAlignment="1" applyProtection="1">
      <alignment horizontal="left" indent="6"/>
      <protection locked="0"/>
    </xf>
    <xf numFmtId="169" fontId="0" fillId="0" borderId="66" xfId="0" applyNumberFormat="1" applyFont="1" applyFill="1" applyBorder="1" applyAlignment="1">
      <alignment horizontal="right"/>
    </xf>
    <xf numFmtId="3" fontId="4" fillId="5" borderId="66" xfId="4" applyNumberFormat="1" applyFont="1" applyFill="1" applyBorder="1" applyProtection="1"/>
    <xf numFmtId="0" fontId="24" fillId="0" borderId="0" xfId="0" applyFont="1"/>
    <xf numFmtId="0" fontId="2" fillId="6" borderId="67" xfId="3" applyFont="1" applyFill="1" applyBorder="1" applyProtection="1"/>
    <xf numFmtId="2" fontId="5" fillId="3" borderId="68" xfId="3" applyNumberFormat="1" applyFont="1" applyFill="1" applyBorder="1" applyAlignment="1" applyProtection="1">
      <alignment horizontal="right"/>
    </xf>
    <xf numFmtId="2" fontId="5" fillId="3" borderId="69" xfId="3" applyNumberFormat="1" applyFont="1" applyFill="1" applyBorder="1" applyAlignment="1" applyProtection="1">
      <alignment horizontal="right"/>
    </xf>
    <xf numFmtId="0" fontId="2" fillId="6" borderId="70" xfId="3" applyFont="1" applyFill="1" applyBorder="1" applyProtection="1"/>
    <xf numFmtId="2" fontId="5" fillId="3" borderId="71" xfId="3" applyNumberFormat="1" applyFont="1" applyFill="1" applyBorder="1" applyAlignment="1" applyProtection="1">
      <alignment horizontal="right"/>
    </xf>
    <xf numFmtId="0" fontId="2" fillId="6" borderId="70" xfId="3" applyFont="1" applyFill="1" applyBorder="1" applyAlignment="1" applyProtection="1">
      <alignment horizontal="left" vertical="center"/>
    </xf>
    <xf numFmtId="0" fontId="2" fillId="6" borderId="72" xfId="3" applyFont="1" applyFill="1" applyBorder="1" applyAlignment="1" applyProtection="1">
      <alignment horizontal="left" vertical="center"/>
    </xf>
    <xf numFmtId="2" fontId="5" fillId="3" borderId="73" xfId="3" applyNumberFormat="1" applyFont="1" applyFill="1" applyBorder="1" applyAlignment="1" applyProtection="1">
      <alignment horizontal="right"/>
    </xf>
    <xf numFmtId="2" fontId="5" fillId="3" borderId="74" xfId="3" applyNumberFormat="1" applyFont="1" applyFill="1" applyBorder="1" applyAlignment="1" applyProtection="1">
      <alignment horizontal="right"/>
    </xf>
    <xf numFmtId="165" fontId="2" fillId="5" borderId="75" xfId="4" applyNumberFormat="1" applyFont="1" applyFill="1" applyBorder="1" applyProtection="1"/>
    <xf numFmtId="2" fontId="11" fillId="2" borderId="42" xfId="3" quotePrefix="1" applyNumberFormat="1" applyFont="1" applyFill="1" applyBorder="1" applyAlignment="1" applyProtection="1">
      <alignment horizontal="right"/>
    </xf>
    <xf numFmtId="0" fontId="2" fillId="6" borderId="76" xfId="3" applyFont="1" applyFill="1" applyBorder="1" applyProtection="1"/>
    <xf numFmtId="0" fontId="2" fillId="6" borderId="77" xfId="3" applyFont="1" applyFill="1" applyBorder="1" applyProtection="1"/>
    <xf numFmtId="0" fontId="2" fillId="6" borderId="78" xfId="3" applyFont="1" applyFill="1" applyBorder="1" applyProtection="1"/>
    <xf numFmtId="0" fontId="2" fillId="6" borderId="79" xfId="3" applyFont="1" applyFill="1" applyBorder="1" applyProtection="1"/>
    <xf numFmtId="0" fontId="2" fillId="6" borderId="80" xfId="3" applyFont="1" applyFill="1" applyBorder="1" applyProtection="1"/>
    <xf numFmtId="0" fontId="2" fillId="6" borderId="81" xfId="3" applyFont="1" applyFill="1" applyBorder="1" applyProtection="1"/>
    <xf numFmtId="0" fontId="2" fillId="6" borderId="82" xfId="3" applyFont="1" applyFill="1" applyBorder="1" applyProtection="1"/>
    <xf numFmtId="0" fontId="2" fillId="6" borderId="83" xfId="3" applyFont="1" applyFill="1" applyBorder="1" applyProtection="1"/>
    <xf numFmtId="0" fontId="2" fillId="6" borderId="84" xfId="3" applyFont="1" applyFill="1" applyBorder="1" applyProtection="1"/>
    <xf numFmtId="0" fontId="2" fillId="6" borderId="85" xfId="3" applyFont="1" applyFill="1" applyBorder="1" applyProtection="1"/>
    <xf numFmtId="0" fontId="2" fillId="6" borderId="86" xfId="3" applyFont="1" applyFill="1" applyBorder="1" applyProtection="1"/>
    <xf numFmtId="0" fontId="2" fillId="6" borderId="87" xfId="3" applyFont="1" applyFill="1" applyBorder="1" applyProtection="1"/>
    <xf numFmtId="2" fontId="5" fillId="3" borderId="88" xfId="3" applyNumberFormat="1" applyFont="1" applyFill="1" applyBorder="1" applyAlignment="1" applyProtection="1">
      <alignment horizontal="right"/>
    </xf>
    <xf numFmtId="2" fontId="5" fillId="3" borderId="89" xfId="3" applyNumberFormat="1" applyFont="1" applyFill="1" applyBorder="1" applyAlignment="1" applyProtection="1">
      <alignment horizontal="right"/>
    </xf>
    <xf numFmtId="2" fontId="5" fillId="3" borderId="90" xfId="3" applyNumberFormat="1" applyFont="1" applyFill="1" applyBorder="1" applyAlignment="1" applyProtection="1">
      <alignment horizontal="right"/>
    </xf>
    <xf numFmtId="0" fontId="2" fillId="6" borderId="69" xfId="3" applyFont="1" applyFill="1" applyBorder="1" applyAlignment="1" applyProtection="1">
      <alignment horizontal="left" vertical="center"/>
    </xf>
    <xf numFmtId="0" fontId="2" fillId="6" borderId="86" xfId="3" applyFont="1" applyFill="1" applyBorder="1" applyAlignment="1" applyProtection="1">
      <alignment horizontal="left" vertical="center"/>
    </xf>
    <xf numFmtId="0" fontId="2" fillId="6" borderId="87" xfId="3" applyFont="1" applyFill="1" applyBorder="1" applyAlignment="1" applyProtection="1">
      <alignment horizontal="left" vertical="center"/>
    </xf>
    <xf numFmtId="0" fontId="2" fillId="3" borderId="15" xfId="3" applyFill="1" applyBorder="1" applyProtection="1"/>
    <xf numFmtId="0" fontId="2" fillId="6" borderId="67" xfId="3" quotePrefix="1" applyFill="1" applyBorder="1" applyProtection="1"/>
    <xf numFmtId="0" fontId="2" fillId="6" borderId="69" xfId="3" quotePrefix="1" applyFont="1" applyFill="1" applyBorder="1" applyProtection="1"/>
    <xf numFmtId="0" fontId="4" fillId="6" borderId="72" xfId="3" quotePrefix="1" applyFont="1" applyFill="1" applyBorder="1" applyProtection="1"/>
    <xf numFmtId="0" fontId="4" fillId="6" borderId="87" xfId="3" quotePrefix="1" applyFont="1" applyFill="1" applyBorder="1" applyProtection="1"/>
    <xf numFmtId="0" fontId="0" fillId="0" borderId="0" xfId="0" applyProtection="1">
      <protection locked="0"/>
    </xf>
    <xf numFmtId="168" fontId="0" fillId="0" borderId="0" xfId="1" applyNumberFormat="1" applyFont="1" applyProtection="1">
      <protection locked="0"/>
    </xf>
    <xf numFmtId="0" fontId="0" fillId="0" borderId="91" xfId="0" applyBorder="1"/>
    <xf numFmtId="168" fontId="0" fillId="0" borderId="91" xfId="1" applyNumberFormat="1" applyFont="1" applyBorder="1"/>
    <xf numFmtId="0" fontId="0" fillId="3" borderId="30" xfId="0" applyFill="1" applyBorder="1" applyProtection="1">
      <protection locked="0"/>
    </xf>
    <xf numFmtId="0" fontId="7" fillId="7" borderId="19" xfId="0" applyFont="1" applyFill="1" applyBorder="1" applyAlignment="1" applyProtection="1">
      <alignment horizontal="right"/>
    </xf>
    <xf numFmtId="0" fontId="7" fillId="7" borderId="92" xfId="0" applyFont="1" applyFill="1" applyBorder="1" applyAlignment="1" applyProtection="1">
      <alignment horizontal="right"/>
      <protection locked="0"/>
    </xf>
    <xf numFmtId="1" fontId="25" fillId="3" borderId="93" xfId="3" applyNumberFormat="1" applyFont="1" applyFill="1" applyBorder="1" applyAlignment="1" applyProtection="1">
      <alignment horizontal="right"/>
    </xf>
    <xf numFmtId="0" fontId="26" fillId="0" borderId="0" xfId="0" applyFont="1"/>
    <xf numFmtId="0" fontId="27" fillId="0" borderId="0" xfId="0" applyFont="1"/>
    <xf numFmtId="0" fontId="27" fillId="0" borderId="30" xfId="0" applyFont="1" applyBorder="1"/>
    <xf numFmtId="164" fontId="27" fillId="0" borderId="2" xfId="0" applyNumberFormat="1" applyFont="1" applyBorder="1"/>
    <xf numFmtId="164" fontId="27" fillId="0" borderId="30" xfId="0" applyNumberFormat="1" applyFont="1" applyBorder="1"/>
    <xf numFmtId="0" fontId="28" fillId="0" borderId="56" xfId="0" applyFont="1" applyBorder="1"/>
    <xf numFmtId="0" fontId="10" fillId="10" borderId="25" xfId="0" applyFont="1" applyFill="1" applyBorder="1" applyAlignment="1" applyProtection="1">
      <protection locked="0"/>
    </xf>
    <xf numFmtId="0" fontId="0" fillId="10" borderId="0" xfId="0" applyFill="1" applyAlignment="1">
      <alignment horizontal="center"/>
    </xf>
    <xf numFmtId="0" fontId="20" fillId="15" borderId="46" xfId="0" applyFont="1" applyFill="1" applyBorder="1" applyAlignment="1">
      <alignment horizontal="center"/>
    </xf>
    <xf numFmtId="0" fontId="20" fillId="15" borderId="47" xfId="0" applyFont="1" applyFill="1" applyBorder="1" applyAlignment="1">
      <alignment horizontal="center"/>
    </xf>
    <xf numFmtId="0" fontId="20" fillId="15" borderId="48" xfId="0" applyFont="1" applyFill="1" applyBorder="1" applyAlignment="1">
      <alignment horizontal="center"/>
    </xf>
  </cellXfs>
  <cellStyles count="8">
    <cellStyle name="20% - Accent1 2" xfId="5"/>
    <cellStyle name="Currency" xfId="1" builtinId="4"/>
    <cellStyle name="Currency 2" xfId="4"/>
    <cellStyle name="Hyperlink" xfId="6" builtinId="8"/>
    <cellStyle name="Normal" xfId="0" builtinId="0"/>
    <cellStyle name="Normal 2" xfId="3"/>
    <cellStyle name="Normal 2 2" xfId="7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R/MONTH</a:t>
            </a:r>
            <a:r>
              <a:rPr lang="en-US" baseline="0"/>
              <a:t> </a:t>
            </a:r>
            <a:r>
              <a:rPr lang="en-US"/>
              <a:t>MUNICRATE</a:t>
            </a:r>
            <a:r>
              <a:rPr lang="en-US" baseline="0"/>
              <a:t> </a:t>
            </a:r>
            <a:r>
              <a:rPr lang="en-US"/>
              <a:t>VS ORIGINAL TARIFF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'Current tariff'!$B$9</c:f>
              <c:strCache>
                <c:ptCount val="1"/>
                <c:pt idx="0">
                  <c:v>Landrate1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Municrate!$D$11:$O$11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'Current tariff'!$D$33:$O$33</c:f>
              <c:numCache>
                <c:formatCode>_ "R"\ * #\ ##0_ ;_ "R"\ * \-#\ ##0_ ;_ "R"\ * "-"_ ;_ @_ </c:formatCode>
                <c:ptCount val="12"/>
                <c:pt idx="0">
                  <c:v>4711.91</c:v>
                </c:pt>
                <c:pt idx="1">
                  <c:v>4711.91</c:v>
                </c:pt>
                <c:pt idx="2">
                  <c:v>4655.3</c:v>
                </c:pt>
                <c:pt idx="3">
                  <c:v>4711.91</c:v>
                </c:pt>
                <c:pt idx="4">
                  <c:v>4655.3</c:v>
                </c:pt>
                <c:pt idx="5">
                  <c:v>4711.91</c:v>
                </c:pt>
                <c:pt idx="6">
                  <c:v>4711.91</c:v>
                </c:pt>
                <c:pt idx="7">
                  <c:v>4598.6900000000005</c:v>
                </c:pt>
                <c:pt idx="8">
                  <c:v>4711.91</c:v>
                </c:pt>
                <c:pt idx="9">
                  <c:v>4655.3</c:v>
                </c:pt>
                <c:pt idx="10">
                  <c:v>4711.91</c:v>
                </c:pt>
                <c:pt idx="11">
                  <c:v>4655.3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16-4654-9BE9-2336D399B23F}"/>
            </c:ext>
          </c:extLst>
        </c:ser>
        <c:ser>
          <c:idx val="1"/>
          <c:order val="1"/>
          <c:tx>
            <c:strRef>
              <c:f>Municrate!$B$7</c:f>
              <c:strCache>
                <c:ptCount val="1"/>
                <c:pt idx="0">
                  <c:v>Municrate1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Municrate!$D$30:$O$30</c:f>
              <c:numCache>
                <c:formatCode>_ "R"\ * #\ ##0_ ;_ "R"\ * \-#\ ##0_ ;_ "R"\ * "-"_ ;_ @_ </c:formatCode>
                <c:ptCount val="12"/>
                <c:pt idx="0">
                  <c:v>4052.57</c:v>
                </c:pt>
                <c:pt idx="1">
                  <c:v>4052.57</c:v>
                </c:pt>
                <c:pt idx="2">
                  <c:v>4020.1000000000004</c:v>
                </c:pt>
                <c:pt idx="3">
                  <c:v>4052.57</c:v>
                </c:pt>
                <c:pt idx="4">
                  <c:v>4020.1000000000004</c:v>
                </c:pt>
                <c:pt idx="5">
                  <c:v>4052.57</c:v>
                </c:pt>
                <c:pt idx="6">
                  <c:v>4052.57</c:v>
                </c:pt>
                <c:pt idx="7">
                  <c:v>3955.1600000000003</c:v>
                </c:pt>
                <c:pt idx="8">
                  <c:v>4052.57</c:v>
                </c:pt>
                <c:pt idx="9">
                  <c:v>4020.1000000000004</c:v>
                </c:pt>
                <c:pt idx="10">
                  <c:v>4052.57</c:v>
                </c:pt>
                <c:pt idx="11">
                  <c:v>4020.1000000000004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16-4654-9BE9-2336D399B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208736"/>
        <c:axId val="333201288"/>
      </c:lineChart>
      <c:catAx>
        <c:axId val="33320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201288"/>
        <c:crosses val="autoZero"/>
        <c:auto val="1"/>
        <c:lblAlgn val="ctr"/>
        <c:lblOffset val="100"/>
        <c:noMultiLvlLbl val="0"/>
      </c:catAx>
      <c:valAx>
        <c:axId val="3332012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R/month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&quot;R&quot;\ * #\ ##0_ ;_ &quot;R&quot;\ * \-#\ ##0_ ;_ &quot;R&quot;\ * &quot;-&quot;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20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2">
                    <a:lumMod val="75000"/>
                  </a:schemeClr>
                </a:solidFill>
              </a:rPr>
              <a:t>COMPARISON</a:t>
            </a:r>
            <a:r>
              <a:rPr lang="en-US" sz="1400" b="1" baseline="0">
                <a:solidFill>
                  <a:schemeClr val="tx2">
                    <a:lumMod val="75000"/>
                  </a:schemeClr>
                </a:solidFill>
              </a:rPr>
              <a:t> OF CHARGES BETWEEN </a:t>
            </a:r>
            <a:r>
              <a:rPr lang="en-US" sz="1400" b="1">
                <a:solidFill>
                  <a:schemeClr val="tx2">
                    <a:lumMod val="75000"/>
                  </a:schemeClr>
                </a:solidFill>
              </a:rPr>
              <a:t>MUNICRATE AND ORIGINAL TARIFF  </a:t>
            </a:r>
          </a:p>
        </c:rich>
      </c:tx>
      <c:layout>
        <c:manualLayout>
          <c:xMode val="edge"/>
          <c:yMode val="edge"/>
          <c:x val="8.8202868110867319E-2"/>
          <c:y val="1.7899261620795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419637383310077E-2"/>
          <c:y val="0.10203933057522233"/>
          <c:w val="0.92095226592765778"/>
          <c:h val="0.727748472923922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Comparison!$E$3</c:f>
              <c:strCache>
                <c:ptCount val="1"/>
                <c:pt idx="0">
                  <c:v>R Difference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8000"/>
                    <a:tint val="50000"/>
                    <a:satMod val="300000"/>
                  </a:schemeClr>
                </a:gs>
                <a:gs pos="35000">
                  <a:schemeClr val="accent1">
                    <a:tint val="58000"/>
                    <a:tint val="37000"/>
                    <a:satMod val="300000"/>
                  </a:schemeClr>
                </a:gs>
                <a:gs pos="100000">
                  <a:schemeClr val="accent1">
                    <a:tint val="58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cat>
            <c:strRef>
              <c:f>Comparison!$B$5:$B$13</c:f>
              <c:strCache>
                <c:ptCount val="9"/>
                <c:pt idx="0">
                  <c:v>Energy charge</c:v>
                </c:pt>
                <c:pt idx="1">
                  <c:v>Energy charge block 1</c:v>
                </c:pt>
                <c:pt idx="2">
                  <c:v>Energy charge block 2</c:v>
                </c:pt>
                <c:pt idx="3">
                  <c:v>Total IBT energy (Homepower only)</c:v>
                </c:pt>
                <c:pt idx="4">
                  <c:v>Network capacity charge</c:v>
                </c:pt>
                <c:pt idx="5">
                  <c:v>Network demand charge</c:v>
                </c:pt>
                <c:pt idx="6">
                  <c:v>Ancillary service charge</c:v>
                </c:pt>
                <c:pt idx="7">
                  <c:v>Service and administration charge</c:v>
                </c:pt>
                <c:pt idx="8">
                  <c:v>Total</c:v>
                </c:pt>
              </c:strCache>
            </c:strRef>
          </c:cat>
          <c:val>
            <c:numRef>
              <c:f>Comparison!$E$5:$E$13</c:f>
              <c:numCache>
                <c:formatCode>"R"\ #\ ##0;[Red]"R"\ \-#\ ##0</c:formatCode>
                <c:ptCount val="9"/>
                <c:pt idx="0">
                  <c:v>141.59999999999491</c:v>
                </c:pt>
                <c:pt idx="1">
                  <c:v>0</c:v>
                </c:pt>
                <c:pt idx="2">
                  <c:v>0</c:v>
                </c:pt>
                <c:pt idx="3">
                  <c:v>988.79999999999984</c:v>
                </c:pt>
                <c:pt idx="4">
                  <c:v>-4400.1799999999985</c:v>
                </c:pt>
                <c:pt idx="5">
                  <c:v>-9.6000000000012733</c:v>
                </c:pt>
                <c:pt idx="6">
                  <c:v>-52.800000000000004</c:v>
                </c:pt>
                <c:pt idx="7">
                  <c:v>-4467.5299999999979</c:v>
                </c:pt>
                <c:pt idx="8">
                  <c:v>-7799.7100000000064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C-4192-9FE0-689DF8DFC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33205600"/>
        <c:axId val="333209520"/>
      </c:barChart>
      <c:catAx>
        <c:axId val="333205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209520"/>
        <c:crosses val="autoZero"/>
        <c:auto val="1"/>
        <c:lblAlgn val="ctr"/>
        <c:lblOffset val="100"/>
        <c:noMultiLvlLbl val="0"/>
      </c:catAx>
      <c:valAx>
        <c:axId val="333209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&quot;\ #\ ##0;[Red]&quot;R&quot;\ \-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20560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5"/>
      </a:solidFill>
      <a:prstDash val="solid"/>
      <a:round/>
    </a:ln>
    <a:effectLst/>
  </c:spPr>
  <c:txPr>
    <a:bodyPr/>
    <a:lstStyle/>
    <a:p>
      <a:pPr>
        <a:defRPr sz="900"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and break-even at different consumption levels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 at different consumption'!$B$4</c:f>
              <c:strCache>
                <c:ptCount val="1"/>
                <c:pt idx="0">
                  <c:v>Landrate1</c:v>
                </c:pt>
              </c:strCache>
            </c:strRef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'Comp at different consumption'!$C$3:$R$3</c:f>
              <c:numCache>
                <c:formatCode>General</c:formatCode>
                <c:ptCount val="16"/>
                <c:pt idx="0">
                  <c:v>100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1200</c:v>
                </c:pt>
                <c:pt idx="5">
                  <c:v>2000</c:v>
                </c:pt>
                <c:pt idx="6">
                  <c:v>3000</c:v>
                </c:pt>
                <c:pt idx="7">
                  <c:v>4000</c:v>
                </c:pt>
                <c:pt idx="8">
                  <c:v>5000</c:v>
                </c:pt>
                <c:pt idx="9">
                  <c:v>6000</c:v>
                </c:pt>
                <c:pt idx="10">
                  <c:v>7000</c:v>
                </c:pt>
                <c:pt idx="11">
                  <c:v>8000</c:v>
                </c:pt>
                <c:pt idx="12">
                  <c:v>9000</c:v>
                </c:pt>
                <c:pt idx="13">
                  <c:v>10000</c:v>
                </c:pt>
                <c:pt idx="14">
                  <c:v>11000</c:v>
                </c:pt>
                <c:pt idx="15">
                  <c:v>12000</c:v>
                </c:pt>
              </c:numCache>
            </c:numRef>
          </c:cat>
          <c:val>
            <c:numRef>
              <c:f>'Comp at different consumption'!$C$4:$R$4</c:f>
              <c:numCache>
                <c:formatCode>_ "R"\ * #\ ##0_ ;_ "R"\ * \-#\ ##0_ ;_ "R"\ * "-"??_ ;_ @_ </c:formatCode>
                <c:ptCount val="16"/>
                <c:pt idx="0">
                  <c:v>1869.7375</c:v>
                </c:pt>
                <c:pt idx="1">
                  <c:v>2313.2874999999999</c:v>
                </c:pt>
                <c:pt idx="2">
                  <c:v>2608.9875000000002</c:v>
                </c:pt>
                <c:pt idx="3">
                  <c:v>2904.6875</c:v>
                </c:pt>
                <c:pt idx="4">
                  <c:v>3496.0875000000001</c:v>
                </c:pt>
                <c:pt idx="5">
                  <c:v>4678.8874999999998</c:v>
                </c:pt>
                <c:pt idx="6">
                  <c:v>6157.3874999999998</c:v>
                </c:pt>
                <c:pt idx="7">
                  <c:v>7635.8874999999998</c:v>
                </c:pt>
                <c:pt idx="8">
                  <c:v>9114.3875000000007</c:v>
                </c:pt>
                <c:pt idx="9">
                  <c:v>10592.887500000001</c:v>
                </c:pt>
                <c:pt idx="10">
                  <c:v>12071.387500000001</c:v>
                </c:pt>
                <c:pt idx="11">
                  <c:v>13549.887500000001</c:v>
                </c:pt>
                <c:pt idx="12">
                  <c:v>15028.387500000001</c:v>
                </c:pt>
                <c:pt idx="13">
                  <c:v>16506.887500000001</c:v>
                </c:pt>
                <c:pt idx="14">
                  <c:v>17985.387500000001</c:v>
                </c:pt>
                <c:pt idx="15">
                  <c:v>19463.887500000001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6-4600-835B-60FB2E3FED1D}"/>
            </c:ext>
          </c:extLst>
        </c:ser>
        <c:ser>
          <c:idx val="1"/>
          <c:order val="1"/>
          <c:tx>
            <c:strRef>
              <c:f>'Comp at different consumption'!$B$5</c:f>
              <c:strCache>
                <c:ptCount val="1"/>
                <c:pt idx="0">
                  <c:v>Municrate1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'Comp at different consumption'!$C$3:$R$3</c:f>
              <c:numCache>
                <c:formatCode>General</c:formatCode>
                <c:ptCount val="16"/>
                <c:pt idx="0">
                  <c:v>100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1200</c:v>
                </c:pt>
                <c:pt idx="5">
                  <c:v>2000</c:v>
                </c:pt>
                <c:pt idx="6">
                  <c:v>3000</c:v>
                </c:pt>
                <c:pt idx="7">
                  <c:v>4000</c:v>
                </c:pt>
                <c:pt idx="8">
                  <c:v>5000</c:v>
                </c:pt>
                <c:pt idx="9">
                  <c:v>6000</c:v>
                </c:pt>
                <c:pt idx="10">
                  <c:v>7000</c:v>
                </c:pt>
                <c:pt idx="11">
                  <c:v>8000</c:v>
                </c:pt>
                <c:pt idx="12">
                  <c:v>9000</c:v>
                </c:pt>
                <c:pt idx="13">
                  <c:v>10000</c:v>
                </c:pt>
                <c:pt idx="14">
                  <c:v>11000</c:v>
                </c:pt>
                <c:pt idx="15">
                  <c:v>12000</c:v>
                </c:pt>
              </c:numCache>
            </c:numRef>
          </c:cat>
          <c:val>
            <c:numRef>
              <c:f>'Comp at different consumption'!$C$5:$R$5</c:f>
              <c:numCache>
                <c:formatCode>_ "R"\ * #\ ##0_ ;_ "R"\ * \-#\ ##0_ ;_ "R"\ * "-"??_ ;_ @_ </c:formatCode>
                <c:ptCount val="16"/>
                <c:pt idx="0">
                  <c:v>1135.8091666666667</c:v>
                </c:pt>
                <c:pt idx="1">
                  <c:v>1580.3491666666664</c:v>
                </c:pt>
                <c:pt idx="2">
                  <c:v>1876.7091666666665</c:v>
                </c:pt>
                <c:pt idx="3">
                  <c:v>2173.0691666666662</c:v>
                </c:pt>
                <c:pt idx="4">
                  <c:v>2765.7891666666665</c:v>
                </c:pt>
                <c:pt idx="5">
                  <c:v>3951.2291666666661</c:v>
                </c:pt>
                <c:pt idx="6">
                  <c:v>5433.0291666666662</c:v>
                </c:pt>
                <c:pt idx="7">
                  <c:v>6914.8291666666655</c:v>
                </c:pt>
                <c:pt idx="8">
                  <c:v>8396.6291666666657</c:v>
                </c:pt>
                <c:pt idx="9">
                  <c:v>9878.429166666665</c:v>
                </c:pt>
                <c:pt idx="10">
                  <c:v>11360.229166666664</c:v>
                </c:pt>
                <c:pt idx="11">
                  <c:v>12842.029166666664</c:v>
                </c:pt>
                <c:pt idx="12">
                  <c:v>14323.829166666663</c:v>
                </c:pt>
                <c:pt idx="13">
                  <c:v>15805.629166666666</c:v>
                </c:pt>
                <c:pt idx="14">
                  <c:v>17287.429166666665</c:v>
                </c:pt>
                <c:pt idx="15">
                  <c:v>18769.229166666664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96-4600-835B-60FB2E3FE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198152"/>
        <c:axId val="529148920"/>
      </c:lineChart>
      <c:catAx>
        <c:axId val="333198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kWh/month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148920"/>
        <c:crosses val="autoZero"/>
        <c:auto val="1"/>
        <c:lblAlgn val="ctr"/>
        <c:lblOffset val="100"/>
        <c:noMultiLvlLbl val="0"/>
      </c:catAx>
      <c:valAx>
        <c:axId val="529148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R/month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 &quot;R&quot;\ * #\ ##0_ ;_ &quot;R&quot;\ * \-#\ ##0_ ;_ &quot;R&quot;\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3198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5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2863850</xdr:colOff>
      <xdr:row>4</xdr:row>
      <xdr:rowOff>88900</xdr:rowOff>
    </xdr:from>
    <xdr:to>
      <xdr:col>3</xdr:col>
      <xdr:colOff>0</xdr:colOff>
      <xdr:row>4</xdr:row>
      <xdr:rowOff>114300</xdr:rowOff>
    </xdr:to>
    <xdr:cxnSp macro="">
      <xdr:nvCxnSpPr>
        <xdr:cNvPr id="3" name="Straight Arrow Connector 2"/>
        <xdr:cNvCxnSpPr/>
      </xdr:nvCxnSpPr>
      <xdr:spPr>
        <a:xfrm>
          <a:off x="5842000" y="825500"/>
          <a:ext cx="1911350" cy="254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3168650</xdr:colOff>
      <xdr:row>2</xdr:row>
      <xdr:rowOff>38100</xdr:rowOff>
    </xdr:from>
    <xdr:to>
      <xdr:col>1</xdr:col>
      <xdr:colOff>4503334</xdr:colOff>
      <xdr:row>9</xdr:row>
      <xdr:rowOff>12300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6800" y="406400"/>
          <a:ext cx="1334684" cy="1263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214416</xdr:colOff>
      <xdr:row>1</xdr:row>
      <xdr:rowOff>3427</xdr:rowOff>
    </xdr:from>
    <xdr:to>
      <xdr:col>14</xdr:col>
      <xdr:colOff>401554</xdr:colOff>
      <xdr:row>17</xdr:row>
      <xdr:rowOff>164934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88975</xdr:colOff>
      <xdr:row>15</xdr:row>
      <xdr:rowOff>95292</xdr:rowOff>
    </xdr:from>
    <xdr:to>
      <xdr:col>6</xdr:col>
      <xdr:colOff>30361</xdr:colOff>
      <xdr:row>35</xdr:row>
      <xdr:rowOff>36286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</xdr:colOff>
      <xdr:row>7</xdr:row>
      <xdr:rowOff>16510</xdr:rowOff>
    </xdr:from>
    <xdr:to>
      <xdr:col>13</xdr:col>
      <xdr:colOff>129540</xdr:colOff>
      <xdr:row>26</xdr:row>
      <xdr:rowOff>71120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9</xdr:col>
      <xdr:colOff>142875</xdr:colOff>
      <xdr:row>4</xdr:row>
      <xdr:rowOff>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200650" y="1085850"/>
          <a:ext cx="2695575" cy="0"/>
          <a:chOff x="636" y="458"/>
          <a:chExt cx="379" cy="160"/>
        </a:xfrm>
      </xdr:grpSpPr>
      <xdr:sp macro="" textlink="">
        <xdr:nvSpPr>
          <xdr:cNvPr id="3" name="WordArt 2"/>
          <xdr:cNvSpPr>
            <a:spLocks noChangeArrowheads="1" noChangeShapeType="1" noTextEdit="1"/>
          </xdr:cNvSpPr>
        </xdr:nvSpPr>
        <xdr:spPr bwMode="auto">
          <a:xfrm>
            <a:off x="636" y="458"/>
            <a:ext cx="379" cy="109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none" fromWordArt="1">
            <a:prstTxWarp prst="textPlain">
              <a:avLst>
                <a:gd name="adj" fmla="val 53264"/>
              </a:avLst>
            </a:prstTxWarp>
          </a:bodyPr>
          <a:lstStyle/>
          <a:p>
            <a:pPr algn="ctr" rtl="0">
              <a:buNone/>
            </a:pPr>
            <a:r>
              <a:rPr lang="en-ZA" sz="3600" kern="10" spc="720">
                <a:ln>
                  <a:noFill/>
                </a:ln>
                <a:gradFill rotWithShape="1">
                  <a:gsLst>
                    <a:gs pos="0">
                      <a:srgbClr xmlns:mc="http://schemas.openxmlformats.org/markup-compatibility/2006" xmlns:a14="http://schemas.microsoft.com/office/drawing/2010/main" val="C0C0C0" mc:Ignorable="a14" a14:legacySpreadsheetColorIndex="22">
                        <a:alpha val="39999"/>
                      </a:srgbClr>
                    </a:gs>
                    <a:gs pos="50000">
                      <a:srgbClr xmlns:mc="http://schemas.openxmlformats.org/markup-compatibility/2006" xmlns:a14="http://schemas.microsoft.com/office/drawing/2010/main" val="DADADA" mc:Ignorable="a14" a14:legacySpreadsheetColorIndex="22">
                        <a:gamma/>
                        <a:tint val="58431"/>
                        <a:invGamma/>
                      </a:srgbClr>
                    </a:gs>
                    <a:gs pos="100000">
                      <a:srgbClr xmlns:mc="http://schemas.openxmlformats.org/markup-compatibility/2006" xmlns:a14="http://schemas.microsoft.com/office/drawing/2010/main" val="C0C0C0" mc:Ignorable="a14" a14:legacySpreadsheetColorIndex="22">
                        <a:alpha val="39999"/>
                      </a:srgbClr>
                    </a:gs>
                  </a:gsLst>
                  <a:lin ang="5400000" scaled="1"/>
                </a:gradFill>
                <a:effectLst>
                  <a:outerShdw dist="45791" dir="3378596" algn="ctr" rotWithShape="0">
                    <a:srgbClr val="4D4D4D">
                      <a:alpha val="80000"/>
                    </a:srgbClr>
                  </a:outerShdw>
                </a:effectLst>
                <a:latin typeface="Arial Black"/>
              </a:rPr>
              <a:t>Design</a:t>
            </a:r>
          </a:p>
          <a:p>
            <a:pPr algn="ctr" rtl="0">
              <a:buNone/>
            </a:pPr>
            <a:r>
              <a:rPr lang="en-ZA" sz="3600" kern="10" spc="720">
                <a:ln>
                  <a:noFill/>
                </a:ln>
                <a:gradFill rotWithShape="1">
                  <a:gsLst>
                    <a:gs pos="0">
                      <a:srgbClr xmlns:mc="http://schemas.openxmlformats.org/markup-compatibility/2006" xmlns:a14="http://schemas.microsoft.com/office/drawing/2010/main" val="C0C0C0" mc:Ignorable="a14" a14:legacySpreadsheetColorIndex="22">
                        <a:alpha val="39999"/>
                      </a:srgbClr>
                    </a:gs>
                    <a:gs pos="50000">
                      <a:srgbClr xmlns:mc="http://schemas.openxmlformats.org/markup-compatibility/2006" xmlns:a14="http://schemas.microsoft.com/office/drawing/2010/main" val="DADADA" mc:Ignorable="a14" a14:legacySpreadsheetColorIndex="22">
                        <a:gamma/>
                        <a:tint val="58431"/>
                        <a:invGamma/>
                      </a:srgbClr>
                    </a:gs>
                    <a:gs pos="100000">
                      <a:srgbClr xmlns:mc="http://schemas.openxmlformats.org/markup-compatibility/2006" xmlns:a14="http://schemas.microsoft.com/office/drawing/2010/main" val="C0C0C0" mc:Ignorable="a14" a14:legacySpreadsheetColorIndex="22">
                        <a:alpha val="39999"/>
                      </a:srgbClr>
                    </a:gs>
                  </a:gsLst>
                  <a:lin ang="5400000" scaled="1"/>
                </a:gradFill>
                <a:effectLst>
                  <a:outerShdw dist="45791" dir="3378596" algn="ctr" rotWithShape="0">
                    <a:srgbClr val="4D4D4D">
                      <a:alpha val="80000"/>
                    </a:srgbClr>
                  </a:outerShdw>
                </a:effectLst>
                <a:latin typeface="Arial Black"/>
              </a:rPr>
              <a:t>rates</a:t>
            </a:r>
          </a:p>
        </xdr:txBody>
      </xdr:sp>
      <xdr:sp macro="" textlink="">
        <xdr:nvSpPr>
          <xdr:cNvPr id="4" name="WordArt 3"/>
          <xdr:cNvSpPr>
            <a:spLocks noChangeArrowheads="1" noChangeShapeType="1" noTextEdit="1"/>
          </xdr:cNvSpPr>
        </xdr:nvSpPr>
        <xdr:spPr bwMode="auto">
          <a:xfrm>
            <a:off x="713" y="589"/>
            <a:ext cx="229" cy="29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none" fromWordArt="1">
            <a:prstTxWarp prst="textPlain">
              <a:avLst>
                <a:gd name="adj" fmla="val 49486"/>
              </a:avLst>
            </a:prstTxWarp>
          </a:bodyPr>
          <a:lstStyle/>
          <a:p>
            <a:pPr algn="ctr" rtl="0">
              <a:buNone/>
            </a:pPr>
            <a:r>
              <a:rPr lang="en-ZA" sz="1800" kern="10" spc="360">
                <a:ln>
                  <a:noFill/>
                </a:ln>
                <a:gradFill rotWithShape="1">
                  <a:gsLst>
                    <a:gs pos="0">
                      <a:srgbClr xmlns:mc="http://schemas.openxmlformats.org/markup-compatibility/2006" xmlns:a14="http://schemas.microsoft.com/office/drawing/2010/main" val="C0C0C0" mc:Ignorable="a14" a14:legacySpreadsheetColorIndex="22">
                        <a:alpha val="39999"/>
                      </a:srgbClr>
                    </a:gs>
                    <a:gs pos="50000">
                      <a:srgbClr xmlns:mc="http://schemas.openxmlformats.org/markup-compatibility/2006" xmlns:a14="http://schemas.microsoft.com/office/drawing/2010/main" val="DADADA" mc:Ignorable="a14" a14:legacySpreadsheetColorIndex="22">
                        <a:gamma/>
                        <a:tint val="58431"/>
                        <a:invGamma/>
                      </a:srgbClr>
                    </a:gs>
                    <a:gs pos="100000">
                      <a:srgbClr xmlns:mc="http://schemas.openxmlformats.org/markup-compatibility/2006" xmlns:a14="http://schemas.microsoft.com/office/drawing/2010/main" val="C0C0C0" mc:Ignorable="a14" a14:legacySpreadsheetColorIndex="22">
                        <a:alpha val="39999"/>
                      </a:srgbClr>
                    </a:gs>
                  </a:gsLst>
                  <a:lin ang="5400000" scaled="1"/>
                </a:gradFill>
                <a:effectLst>
                  <a:outerShdw dist="45791" dir="3378596" algn="ctr" rotWithShape="0">
                    <a:srgbClr val="4D4D4D">
                      <a:alpha val="80000"/>
                    </a:srgbClr>
                  </a:outerShdw>
                </a:effectLst>
                <a:latin typeface="Arial Black"/>
              </a:rPr>
              <a:t>Not for publication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edit.eskom.co.za/Users/SalvolSD/Documents/Data/Tariff%20updates/2016_17/tariff%20book%20file/2016_17%20Tariff%20rates%20-%20internal%20version%20v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WEPS inc"/>
      <sheetName val="WEPS Munic inc"/>
      <sheetName val="Nightsave Large inc"/>
      <sheetName val="Nightsave Large Munic inc"/>
      <sheetName val="Nightsave Small inc"/>
      <sheetName val="Nightsave Small Munic inc"/>
      <sheetName val="Megaflex inc"/>
      <sheetName val="Megaflex Munic inc "/>
      <sheetName val="Megaflex Gen inc"/>
      <sheetName val="Miniflex inc"/>
      <sheetName val="Miniflex Munic inc "/>
      <sheetName val="Businessrate inc"/>
      <sheetName val="Businessrate Munic inc"/>
      <sheetName val="Public Lighting inc"/>
      <sheetName val="Public Lighting Munic inc"/>
      <sheetName val="Homepower inc"/>
      <sheetName val="Homepower Munic inc"/>
      <sheetName val="Homelight inc"/>
      <sheetName val="Nightsave Rural inc"/>
      <sheetName val="Nightsave Rural Munic inc "/>
      <sheetName val="Ruraflex inc"/>
      <sheetName val="Ruraflex Munic inc"/>
      <sheetName val="Ruraflex Gen inc"/>
      <sheetName val="Landrate inc"/>
      <sheetName val="Landrate Munic inc"/>
      <sheetName val="Transflex 1 inc"/>
      <sheetName val="Transflex 2 inc"/>
      <sheetName val="Homeflex inc"/>
      <sheetName val="TOuS Original"/>
      <sheetName val="TUoS"/>
      <sheetName val="DUoS"/>
      <sheetName val="Loss Factors"/>
      <sheetName val="Excess NCC or MEC"/>
      <sheetName val="Excess NCC Munic"/>
      <sheetName val="Miniflex CPD"/>
      <sheetName val="Nightsave Small CPD"/>
      <sheetName val="Ruraflex CPD"/>
      <sheetName val="Nightsave Rural CPD"/>
      <sheetName val="Env levy"/>
      <sheetName val="Sheet2"/>
      <sheetName val="Reconcilia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AL1">
            <v>0.14000000000000001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B6" sqref="B6"/>
    </sheetView>
  </sheetViews>
  <sheetFormatPr defaultRowHeight="14.4" x14ac:dyDescent="0.3"/>
  <cols>
    <col min="1" max="1" width="42.6640625" customWidth="1"/>
    <col min="2" max="2" width="66.33203125" customWidth="1"/>
    <col min="3" max="3" width="2" customWidth="1"/>
    <col min="4" max="4" width="24.109375" customWidth="1"/>
    <col min="5" max="5" width="7.21875" customWidth="1"/>
    <col min="6" max="6" width="6.77734375" customWidth="1"/>
    <col min="7" max="7" width="8" customWidth="1"/>
    <col min="8" max="8" width="6.44140625" customWidth="1"/>
  </cols>
  <sheetData>
    <row r="1" spans="1:8" x14ac:dyDescent="0.3">
      <c r="A1" s="106" t="s">
        <v>71</v>
      </c>
      <c r="B1" s="146" t="s">
        <v>103</v>
      </c>
    </row>
    <row r="2" spans="1:8" x14ac:dyDescent="0.3">
      <c r="B2" s="146" t="s">
        <v>102</v>
      </c>
    </row>
    <row r="3" spans="1:8" x14ac:dyDescent="0.3">
      <c r="B3" s="146"/>
    </row>
    <row r="4" spans="1:8" x14ac:dyDescent="0.3">
      <c r="A4" s="108" t="s">
        <v>47</v>
      </c>
      <c r="B4" s="107" t="s">
        <v>48</v>
      </c>
    </row>
    <row r="5" spans="1:8" x14ac:dyDescent="0.3">
      <c r="A5" s="109"/>
      <c r="B5" s="107" t="s">
        <v>112</v>
      </c>
      <c r="D5" s="71" t="s">
        <v>99</v>
      </c>
      <c r="E5" s="71" t="s">
        <v>50</v>
      </c>
      <c r="F5" s="71" t="s">
        <v>53</v>
      </c>
      <c r="G5" s="71" t="s">
        <v>62</v>
      </c>
      <c r="H5" s="71" t="s">
        <v>63</v>
      </c>
    </row>
    <row r="6" spans="1:8" x14ac:dyDescent="0.3">
      <c r="A6" s="109"/>
      <c r="B6" s="107" t="s">
        <v>68</v>
      </c>
      <c r="D6" s="99" t="s">
        <v>49</v>
      </c>
      <c r="E6" s="100" t="s">
        <v>52</v>
      </c>
      <c r="F6" s="99"/>
      <c r="G6" s="99"/>
      <c r="H6" s="99"/>
    </row>
    <row r="7" spans="1:8" x14ac:dyDescent="0.3">
      <c r="A7" s="109"/>
      <c r="D7" s="99" t="s">
        <v>56</v>
      </c>
      <c r="E7" s="100" t="s">
        <v>52</v>
      </c>
      <c r="F7" s="99"/>
      <c r="G7" s="99"/>
      <c r="H7" s="99"/>
    </row>
    <row r="8" spans="1:8" x14ac:dyDescent="0.3">
      <c r="A8" s="110" t="s">
        <v>66</v>
      </c>
      <c r="B8" t="s">
        <v>67</v>
      </c>
      <c r="D8" s="101" t="s">
        <v>51</v>
      </c>
      <c r="E8" s="102" t="s">
        <v>52</v>
      </c>
      <c r="F8" s="101"/>
      <c r="G8" s="101"/>
      <c r="H8" s="102" t="s">
        <v>52</v>
      </c>
    </row>
    <row r="9" spans="1:8" x14ac:dyDescent="0.3">
      <c r="A9" s="109"/>
      <c r="D9" s="71" t="s">
        <v>54</v>
      </c>
      <c r="E9" s="71"/>
      <c r="F9" s="103" t="s">
        <v>52</v>
      </c>
      <c r="G9" s="71"/>
      <c r="H9" s="71"/>
    </row>
    <row r="10" spans="1:8" x14ac:dyDescent="0.3">
      <c r="A10" s="111" t="s">
        <v>69</v>
      </c>
      <c r="B10" s="107" t="s">
        <v>100</v>
      </c>
      <c r="D10" s="71" t="s">
        <v>57</v>
      </c>
      <c r="E10" s="71"/>
      <c r="F10" s="103" t="s">
        <v>52</v>
      </c>
      <c r="G10" s="71"/>
      <c r="H10" s="71"/>
    </row>
    <row r="11" spans="1:8" x14ac:dyDescent="0.3">
      <c r="A11" s="109"/>
      <c r="B11" s="107"/>
      <c r="D11" s="101" t="s">
        <v>55</v>
      </c>
      <c r="E11" s="101"/>
      <c r="F11" s="102" t="s">
        <v>52</v>
      </c>
      <c r="G11" s="101"/>
      <c r="H11" s="101"/>
    </row>
    <row r="12" spans="1:8" x14ac:dyDescent="0.3">
      <c r="A12" s="109"/>
      <c r="D12" s="104" t="s">
        <v>58</v>
      </c>
      <c r="E12" s="104"/>
      <c r="F12" s="104"/>
      <c r="G12" s="105" t="s">
        <v>52</v>
      </c>
      <c r="H12" s="104"/>
    </row>
    <row r="13" spans="1:8" x14ac:dyDescent="0.3">
      <c r="A13" s="112" t="s">
        <v>70</v>
      </c>
      <c r="B13" s="107" t="s">
        <v>101</v>
      </c>
      <c r="D13" s="99" t="s">
        <v>59</v>
      </c>
      <c r="E13" s="99"/>
      <c r="F13" s="99"/>
      <c r="G13" s="100" t="s">
        <v>52</v>
      </c>
      <c r="H13" s="99"/>
    </row>
    <row r="14" spans="1:8" x14ac:dyDescent="0.3">
      <c r="A14" s="109"/>
      <c r="D14" s="101" t="s">
        <v>64</v>
      </c>
      <c r="E14" s="101"/>
      <c r="F14" s="101"/>
      <c r="G14" s="102" t="s">
        <v>52</v>
      </c>
      <c r="H14" s="101"/>
    </row>
    <row r="15" spans="1:8" x14ac:dyDescent="0.3">
      <c r="D15" s="104" t="s">
        <v>60</v>
      </c>
      <c r="E15" s="104"/>
      <c r="F15" s="104"/>
      <c r="G15" s="104"/>
      <c r="H15" s="105" t="s">
        <v>52</v>
      </c>
    </row>
    <row r="16" spans="1:8" x14ac:dyDescent="0.3">
      <c r="D16" s="99" t="s">
        <v>61</v>
      </c>
      <c r="E16" s="99"/>
      <c r="F16" s="99"/>
      <c r="G16" s="99"/>
      <c r="H16" s="100" t="s">
        <v>52</v>
      </c>
    </row>
    <row r="17" spans="4:8" x14ac:dyDescent="0.3">
      <c r="D17" s="101" t="s">
        <v>65</v>
      </c>
      <c r="E17" s="102" t="s">
        <v>52</v>
      </c>
      <c r="F17" s="101"/>
      <c r="G17" s="101"/>
      <c r="H17" s="102" t="s">
        <v>52</v>
      </c>
    </row>
    <row r="19" spans="4:8" ht="16.8" customHeight="1" x14ac:dyDescent="0.3">
      <c r="E19" s="113"/>
      <c r="F19" s="113"/>
      <c r="G19" s="113"/>
      <c r="H19" s="113"/>
    </row>
    <row r="20" spans="4:8" x14ac:dyDescent="0.3">
      <c r="E20" s="113"/>
      <c r="F20" s="113"/>
      <c r="G20" s="113"/>
      <c r="H20" s="113"/>
    </row>
    <row r="21" spans="4:8" x14ac:dyDescent="0.3">
      <c r="E21" s="113"/>
      <c r="F21" s="113"/>
      <c r="G21" s="113"/>
      <c r="H21" s="113"/>
    </row>
    <row r="22" spans="4:8" x14ac:dyDescent="0.3">
      <c r="E22" s="113"/>
      <c r="F22" s="113"/>
      <c r="G22" s="113"/>
      <c r="H22" s="113"/>
    </row>
    <row r="23" spans="4:8" x14ac:dyDescent="0.3">
      <c r="E23" s="113"/>
      <c r="F23" s="113"/>
      <c r="G23" s="113"/>
      <c r="H23" s="113"/>
    </row>
    <row r="24" spans="4:8" x14ac:dyDescent="0.3">
      <c r="E24" s="113"/>
      <c r="F24" s="113"/>
      <c r="G24" s="113"/>
      <c r="H24" s="113"/>
    </row>
    <row r="25" spans="4:8" x14ac:dyDescent="0.3">
      <c r="E25" s="113"/>
      <c r="F25" s="113"/>
      <c r="G25" s="113"/>
      <c r="H25" s="113"/>
    </row>
    <row r="26" spans="4:8" x14ac:dyDescent="0.3">
      <c r="E26" s="113"/>
      <c r="F26" s="113"/>
      <c r="G26" s="113"/>
      <c r="H26" s="113"/>
    </row>
    <row r="27" spans="4:8" x14ac:dyDescent="0.3">
      <c r="E27" s="113"/>
      <c r="F27" s="113"/>
      <c r="G27" s="113"/>
      <c r="H27" s="113"/>
    </row>
    <row r="28" spans="4:8" x14ac:dyDescent="0.3">
      <c r="E28" s="113"/>
      <c r="F28" s="113"/>
      <c r="G28" s="113"/>
      <c r="H28" s="113"/>
    </row>
  </sheetData>
  <hyperlinks>
    <hyperlink ref="A4" location="'Existing tariff'!A1" display="Existing tariff worksheet"/>
    <hyperlink ref="A8" location="'New tariff'!A1" display="New tariff worksheet"/>
    <hyperlink ref="A10" location="Comparison!A1" display="Comparison worksheet"/>
    <hyperlink ref="A13" location="'Comp at different consumption'!A1" display="Comp at different consumption levels worksheet"/>
    <hyperlink ref="B4" location="'Existing tariff'!C2" display="Cell C2, select the existing tariff category"/>
    <hyperlink ref="B6" location="'Existing tariff'!D9" display="Row 9, enter the monthly consumption"/>
    <hyperlink ref="B10" location="Comparison!F13" display="Compares the existing tariff with Municflex in 2017/18 Rand value"/>
    <hyperlink ref="B13" location="'Comp at different consumption'!D8" display="Compares the existing tariff with Muniflex at different consumption levels"/>
    <hyperlink ref="B5" location="'Existing tariff'!C3" display="Cell C3, select the sub tariff based on siz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topLeftCell="B1" zoomScale="80" zoomScaleNormal="80" workbookViewId="0">
      <selection activeCell="B2" sqref="B2"/>
    </sheetView>
  </sheetViews>
  <sheetFormatPr defaultRowHeight="14.4" x14ac:dyDescent="0.3"/>
  <cols>
    <col min="2" max="2" width="29.77734375" customWidth="1"/>
    <col min="3" max="3" width="14.6640625" customWidth="1"/>
    <col min="4" max="5" width="11.5546875" customWidth="1"/>
    <col min="6" max="6" width="17.33203125" customWidth="1"/>
    <col min="7" max="16" width="11.5546875" customWidth="1"/>
  </cols>
  <sheetData>
    <row r="1" spans="1:16" ht="15" thickBot="1" x14ac:dyDescent="0.35">
      <c r="B1" s="98" t="s">
        <v>46</v>
      </c>
      <c r="K1" t="s">
        <v>42</v>
      </c>
    </row>
    <row r="2" spans="1:16" ht="15" thickBot="1" x14ac:dyDescent="0.35">
      <c r="B2" s="185" t="s">
        <v>105</v>
      </c>
      <c r="C2" s="186" t="s">
        <v>28</v>
      </c>
      <c r="D2" s="189" t="s">
        <v>107</v>
      </c>
      <c r="E2" s="189"/>
      <c r="K2" s="72" t="s">
        <v>38</v>
      </c>
    </row>
    <row r="3" spans="1:16" ht="15" thickBot="1" x14ac:dyDescent="0.35">
      <c r="B3" s="185" t="s">
        <v>104</v>
      </c>
      <c r="C3" s="187">
        <v>25</v>
      </c>
      <c r="D3" s="189" t="s">
        <v>108</v>
      </c>
      <c r="E3" s="189"/>
      <c r="K3" s="75" t="s">
        <v>39</v>
      </c>
    </row>
    <row r="4" spans="1:16" ht="15" thickBot="1" x14ac:dyDescent="0.35">
      <c r="B4" s="185" t="s">
        <v>106</v>
      </c>
      <c r="C4" s="188">
        <f>IF(C3=25,1,IF(C3=50,2,IF(C3=100,3,IF(C3=16,4," "))))</f>
        <v>1</v>
      </c>
      <c r="K4" s="73" t="s">
        <v>40</v>
      </c>
    </row>
    <row r="5" spans="1:16" x14ac:dyDescent="0.3">
      <c r="C5" s="190" t="s">
        <v>109</v>
      </c>
      <c r="K5" s="74" t="s">
        <v>41</v>
      </c>
    </row>
    <row r="6" spans="1:16" x14ac:dyDescent="0.3">
      <c r="C6" s="190"/>
    </row>
    <row r="7" spans="1:16" x14ac:dyDescent="0.3">
      <c r="C7" s="190"/>
    </row>
    <row r="8" spans="1:16" ht="15" thickBot="1" x14ac:dyDescent="0.35"/>
    <row r="9" spans="1:16" ht="18" thickBot="1" x14ac:dyDescent="0.35">
      <c r="A9" s="2"/>
      <c r="B9" t="str">
        <f>C2&amp;C4</f>
        <v>Landrate1</v>
      </c>
      <c r="D9" s="23" t="s">
        <v>1</v>
      </c>
      <c r="E9" s="23" t="s">
        <v>2</v>
      </c>
      <c r="F9" s="23" t="s">
        <v>3</v>
      </c>
      <c r="G9" s="23" t="s">
        <v>4</v>
      </c>
      <c r="H9" s="23" t="s">
        <v>5</v>
      </c>
      <c r="I9" s="23" t="s">
        <v>6</v>
      </c>
      <c r="J9" s="23" t="s">
        <v>7</v>
      </c>
      <c r="K9" s="23" t="s">
        <v>8</v>
      </c>
      <c r="L9" s="23" t="s">
        <v>9</v>
      </c>
      <c r="M9" s="23" t="s">
        <v>10</v>
      </c>
      <c r="N9" s="23" t="s">
        <v>11</v>
      </c>
      <c r="O9" s="78" t="s">
        <v>12</v>
      </c>
      <c r="P9" s="79" t="s">
        <v>30</v>
      </c>
    </row>
    <row r="10" spans="1:16" ht="18" thickBot="1" x14ac:dyDescent="0.35">
      <c r="A10" s="2"/>
      <c r="B10" s="177" t="s">
        <v>13</v>
      </c>
      <c r="C10" s="178" t="s">
        <v>14</v>
      </c>
      <c r="D10" s="176">
        <v>31</v>
      </c>
      <c r="E10" s="25">
        <v>31</v>
      </c>
      <c r="F10" s="25">
        <v>30</v>
      </c>
      <c r="G10" s="25">
        <v>31</v>
      </c>
      <c r="H10" s="25">
        <v>30</v>
      </c>
      <c r="I10" s="25">
        <v>31</v>
      </c>
      <c r="J10" s="25">
        <v>31</v>
      </c>
      <c r="K10" s="25">
        <v>29</v>
      </c>
      <c r="L10" s="25">
        <v>31</v>
      </c>
      <c r="M10" s="25">
        <v>30</v>
      </c>
      <c r="N10" s="25">
        <v>31</v>
      </c>
      <c r="O10" s="26">
        <v>30</v>
      </c>
      <c r="P10" s="80"/>
    </row>
    <row r="11" spans="1:16" ht="18" thickBot="1" x14ac:dyDescent="0.35">
      <c r="A11" s="2"/>
      <c r="B11" s="179" t="s">
        <v>15</v>
      </c>
      <c r="C11" s="180" t="s">
        <v>16</v>
      </c>
      <c r="D11" s="195">
        <v>2000</v>
      </c>
      <c r="E11" s="195">
        <v>2000</v>
      </c>
      <c r="F11" s="195">
        <v>2000</v>
      </c>
      <c r="G11" s="195">
        <v>2000</v>
      </c>
      <c r="H11" s="195">
        <v>2000</v>
      </c>
      <c r="I11" s="195">
        <v>2000</v>
      </c>
      <c r="J11" s="195">
        <v>2000</v>
      </c>
      <c r="K11" s="195">
        <v>2000</v>
      </c>
      <c r="L11" s="195">
        <v>2000</v>
      </c>
      <c r="M11" s="195">
        <v>2000</v>
      </c>
      <c r="N11" s="195">
        <v>2000</v>
      </c>
      <c r="O11" s="195">
        <v>2000</v>
      </c>
      <c r="P11" s="145">
        <f>SUM(D11:O11)</f>
        <v>24000</v>
      </c>
    </row>
    <row r="12" spans="1:16" ht="17.399999999999999" x14ac:dyDescent="0.3">
      <c r="A12" s="2"/>
    </row>
    <row r="13" spans="1:16" ht="18" thickBot="1" x14ac:dyDescent="0.35">
      <c r="A13" s="2"/>
    </row>
    <row r="14" spans="1:16" ht="18" thickBot="1" x14ac:dyDescent="0.35">
      <c r="A14" s="2"/>
      <c r="B14" s="3"/>
      <c r="C14" s="3"/>
      <c r="D14" s="4" t="s">
        <v>1</v>
      </c>
      <c r="E14" s="5" t="s">
        <v>2</v>
      </c>
      <c r="F14" s="5" t="s">
        <v>3</v>
      </c>
      <c r="G14" s="5" t="s">
        <v>4</v>
      </c>
      <c r="H14" s="5" t="s">
        <v>5</v>
      </c>
      <c r="I14" s="5" t="s">
        <v>6</v>
      </c>
      <c r="J14" s="5" t="s">
        <v>7</v>
      </c>
      <c r="K14" s="5" t="s">
        <v>8</v>
      </c>
      <c r="L14" s="6" t="s">
        <v>9</v>
      </c>
      <c r="M14" s="4" t="s">
        <v>10</v>
      </c>
      <c r="N14" s="5" t="s">
        <v>11</v>
      </c>
      <c r="O14" s="6" t="s">
        <v>12</v>
      </c>
    </row>
    <row r="15" spans="1:16" ht="14.4" customHeight="1" x14ac:dyDescent="0.3">
      <c r="A15" s="2"/>
      <c r="B15" s="147" t="s">
        <v>20</v>
      </c>
      <c r="C15" s="173" t="s">
        <v>19</v>
      </c>
      <c r="D15" s="170">
        <f>IF($C$2="Homepower",0,IF(C2="Landrate",'Tariff charges Current'!O3,IF('Current tariff'!C2="Businessrate",'Tariff charges Current'!O4)))</f>
        <v>118.25</v>
      </c>
      <c r="E15" s="148">
        <f>D15</f>
        <v>118.25</v>
      </c>
      <c r="F15" s="148">
        <f t="shared" ref="F15:O15" si="0">E15</f>
        <v>118.25</v>
      </c>
      <c r="G15" s="148">
        <f t="shared" si="0"/>
        <v>118.25</v>
      </c>
      <c r="H15" s="148">
        <f t="shared" si="0"/>
        <v>118.25</v>
      </c>
      <c r="I15" s="148">
        <f t="shared" si="0"/>
        <v>118.25</v>
      </c>
      <c r="J15" s="148">
        <f t="shared" si="0"/>
        <v>118.25</v>
      </c>
      <c r="K15" s="148">
        <f t="shared" si="0"/>
        <v>118.25</v>
      </c>
      <c r="L15" s="148">
        <f t="shared" si="0"/>
        <v>118.25</v>
      </c>
      <c r="M15" s="148">
        <f t="shared" si="0"/>
        <v>118.25</v>
      </c>
      <c r="N15" s="148">
        <f t="shared" si="0"/>
        <v>118.25</v>
      </c>
      <c r="O15" s="149">
        <f t="shared" si="0"/>
        <v>118.25</v>
      </c>
    </row>
    <row r="16" spans="1:16" ht="17.399999999999999" x14ac:dyDescent="0.3">
      <c r="A16" s="2"/>
      <c r="B16" s="150" t="s">
        <v>24</v>
      </c>
      <c r="C16" s="174" t="s">
        <v>19</v>
      </c>
      <c r="D16" s="171">
        <f>IF($C$2="Homepower",'Tariff charges Current'!O2,0)</f>
        <v>0</v>
      </c>
      <c r="E16" s="12">
        <f>D16</f>
        <v>0</v>
      </c>
      <c r="F16" s="12">
        <f t="shared" ref="F16:O16" si="1">E16</f>
        <v>0</v>
      </c>
      <c r="G16" s="12">
        <f t="shared" si="1"/>
        <v>0</v>
      </c>
      <c r="H16" s="12">
        <f t="shared" si="1"/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2">
        <f t="shared" si="1"/>
        <v>0</v>
      </c>
      <c r="O16" s="151">
        <f t="shared" si="1"/>
        <v>0</v>
      </c>
    </row>
    <row r="17" spans="1:16" ht="17.399999999999999" x14ac:dyDescent="0.3">
      <c r="A17" s="2"/>
      <c r="B17" s="150" t="s">
        <v>23</v>
      </c>
      <c r="C17" s="174" t="s">
        <v>19</v>
      </c>
      <c r="D17" s="171">
        <f>IF($C$2="Homepower",'Tariff charges Current'!P2,0)</f>
        <v>0</v>
      </c>
      <c r="E17" s="12">
        <f>D17</f>
        <v>0</v>
      </c>
      <c r="F17" s="12">
        <f t="shared" ref="F17:O17" si="2">E17</f>
        <v>0</v>
      </c>
      <c r="G17" s="12">
        <f t="shared" si="2"/>
        <v>0</v>
      </c>
      <c r="H17" s="12">
        <f t="shared" si="2"/>
        <v>0</v>
      </c>
      <c r="I17" s="12">
        <f t="shared" si="2"/>
        <v>0</v>
      </c>
      <c r="J17" s="12">
        <f t="shared" si="2"/>
        <v>0</v>
      </c>
      <c r="K17" s="12">
        <f t="shared" si="2"/>
        <v>0</v>
      </c>
      <c r="L17" s="12">
        <f t="shared" si="2"/>
        <v>0</v>
      </c>
      <c r="M17" s="12">
        <f t="shared" si="2"/>
        <v>0</v>
      </c>
      <c r="N17" s="12">
        <f t="shared" si="2"/>
        <v>0</v>
      </c>
      <c r="O17" s="151">
        <f t="shared" si="2"/>
        <v>0</v>
      </c>
    </row>
    <row r="18" spans="1:16" ht="17.399999999999999" x14ac:dyDescent="0.3">
      <c r="A18" s="2"/>
      <c r="B18" s="150" t="s">
        <v>17</v>
      </c>
      <c r="C18" s="174" t="s">
        <v>29</v>
      </c>
      <c r="D18" s="171">
        <f>IF($C$2="Homepower",'Tariff charges Current'!S2,IF($C$2="Landrate",'Tariff charges Current'!S3,IF('Current tariff'!$C$2="Businessrate", 'Tariff charges Current'!S4)))</f>
        <v>31.13</v>
      </c>
      <c r="E18" s="12">
        <f>D18</f>
        <v>31.13</v>
      </c>
      <c r="F18" s="12">
        <f t="shared" ref="F18:N19" si="3">E18</f>
        <v>31.13</v>
      </c>
      <c r="G18" s="12">
        <f t="shared" si="3"/>
        <v>31.13</v>
      </c>
      <c r="H18" s="12">
        <f t="shared" si="3"/>
        <v>31.13</v>
      </c>
      <c r="I18" s="12">
        <f t="shared" si="3"/>
        <v>31.13</v>
      </c>
      <c r="J18" s="12">
        <f t="shared" si="3"/>
        <v>31.13</v>
      </c>
      <c r="K18" s="12">
        <f t="shared" si="3"/>
        <v>31.13</v>
      </c>
      <c r="L18" s="12">
        <f t="shared" si="3"/>
        <v>31.13</v>
      </c>
      <c r="M18" s="12">
        <f t="shared" si="3"/>
        <v>31.13</v>
      </c>
      <c r="N18" s="12">
        <f t="shared" si="3"/>
        <v>31.13</v>
      </c>
      <c r="O18" s="151">
        <f t="shared" ref="O18:O19" si="4">D18</f>
        <v>31.13</v>
      </c>
    </row>
    <row r="19" spans="1:16" ht="17.399999999999999" x14ac:dyDescent="0.3">
      <c r="A19" s="2"/>
      <c r="B19" s="150" t="s">
        <v>18</v>
      </c>
      <c r="C19" s="174" t="s">
        <v>19</v>
      </c>
      <c r="D19" s="171">
        <f>IF($C$2="Homepower",0,IF($C$2="Landrate",'Tariff charges Current'!R3,IF('Current tariff'!$C$2="Businessrate", 'Tariff charges Current'!R4)))</f>
        <v>29.15</v>
      </c>
      <c r="E19" s="12">
        <f>D19</f>
        <v>29.15</v>
      </c>
      <c r="F19" s="12">
        <f t="shared" si="3"/>
        <v>29.15</v>
      </c>
      <c r="G19" s="12">
        <f t="shared" si="3"/>
        <v>29.15</v>
      </c>
      <c r="H19" s="12">
        <f t="shared" si="3"/>
        <v>29.15</v>
      </c>
      <c r="I19" s="12">
        <f t="shared" si="3"/>
        <v>29.15</v>
      </c>
      <c r="J19" s="12">
        <f t="shared" si="3"/>
        <v>29.15</v>
      </c>
      <c r="K19" s="12">
        <f t="shared" si="3"/>
        <v>29.15</v>
      </c>
      <c r="L19" s="12">
        <f t="shared" si="3"/>
        <v>29.15</v>
      </c>
      <c r="M19" s="12">
        <f t="shared" si="3"/>
        <v>29.15</v>
      </c>
      <c r="N19" s="12">
        <f t="shared" si="3"/>
        <v>29.15</v>
      </c>
      <c r="O19" s="151">
        <f t="shared" si="4"/>
        <v>29.15</v>
      </c>
    </row>
    <row r="20" spans="1:16" ht="17.399999999999999" x14ac:dyDescent="0.3">
      <c r="A20" s="2"/>
      <c r="B20" s="152" t="s">
        <v>21</v>
      </c>
      <c r="C20" s="174" t="s">
        <v>19</v>
      </c>
      <c r="D20" s="171">
        <f>IF($C$2="Homepower",'Tariff charges Current'!Q2,IF($C$2="Landrate",'Tariff charges Current'!Q3,IF('Current tariff'!$C$2="Businessrate", 'Tariff charges Current'!Q4)))</f>
        <v>0.45</v>
      </c>
      <c r="E20" s="12">
        <f t="shared" ref="E20:G21" si="5">D20</f>
        <v>0.45</v>
      </c>
      <c r="F20" s="12">
        <f t="shared" si="5"/>
        <v>0.45</v>
      </c>
      <c r="G20" s="12">
        <f t="shared" si="5"/>
        <v>0.45</v>
      </c>
      <c r="H20" s="12">
        <f t="shared" ref="H20:N21" si="6">G20</f>
        <v>0.45</v>
      </c>
      <c r="I20" s="12">
        <f t="shared" si="6"/>
        <v>0.45</v>
      </c>
      <c r="J20" s="12">
        <f t="shared" si="6"/>
        <v>0.45</v>
      </c>
      <c r="K20" s="12">
        <f t="shared" si="6"/>
        <v>0.45</v>
      </c>
      <c r="L20" s="12">
        <f t="shared" si="6"/>
        <v>0.45</v>
      </c>
      <c r="M20" s="12">
        <f t="shared" si="6"/>
        <v>0.45</v>
      </c>
      <c r="N20" s="12">
        <f t="shared" si="6"/>
        <v>0.45</v>
      </c>
      <c r="O20" s="151">
        <f t="shared" ref="O20:O21" si="7">D20</f>
        <v>0.45</v>
      </c>
    </row>
    <row r="21" spans="1:16" ht="18" thickBot="1" x14ac:dyDescent="0.35">
      <c r="A21" s="2"/>
      <c r="B21" s="153" t="s">
        <v>25</v>
      </c>
      <c r="C21" s="175" t="s">
        <v>22</v>
      </c>
      <c r="D21" s="172">
        <f>IF($C$2="Homepower",'Tariff charges Current'!T2,IF($C$2="Landrate",'Tariff charges Current'!T3,IF('Current tariff'!$C$2="Businessrate", 'Tariff charges Current'!T4)))</f>
        <v>25.48</v>
      </c>
      <c r="E21" s="154">
        <f>D21</f>
        <v>25.48</v>
      </c>
      <c r="F21" s="154">
        <f t="shared" si="5"/>
        <v>25.48</v>
      </c>
      <c r="G21" s="154">
        <f t="shared" si="5"/>
        <v>25.48</v>
      </c>
      <c r="H21" s="154">
        <f t="shared" si="6"/>
        <v>25.48</v>
      </c>
      <c r="I21" s="154">
        <f t="shared" si="6"/>
        <v>25.48</v>
      </c>
      <c r="J21" s="154">
        <f t="shared" si="6"/>
        <v>25.48</v>
      </c>
      <c r="K21" s="154">
        <f t="shared" si="6"/>
        <v>25.48</v>
      </c>
      <c r="L21" s="154">
        <f t="shared" si="6"/>
        <v>25.48</v>
      </c>
      <c r="M21" s="154">
        <f t="shared" si="6"/>
        <v>25.48</v>
      </c>
      <c r="N21" s="154">
        <f t="shared" si="6"/>
        <v>25.48</v>
      </c>
      <c r="O21" s="155">
        <f t="shared" si="7"/>
        <v>25.48</v>
      </c>
    </row>
    <row r="22" spans="1:16" ht="17.399999999999999" x14ac:dyDescent="0.3">
      <c r="A22" s="2"/>
    </row>
    <row r="23" spans="1:16" ht="15" thickBot="1" x14ac:dyDescent="0.35"/>
    <row r="24" spans="1:16" ht="15" thickBot="1" x14ac:dyDescent="0.35">
      <c r="B24" s="3"/>
      <c r="C24" s="3"/>
      <c r="D24" s="29" t="s">
        <v>1</v>
      </c>
      <c r="E24" s="29" t="s">
        <v>2</v>
      </c>
      <c r="F24" s="29" t="s">
        <v>3</v>
      </c>
      <c r="G24" s="29" t="s">
        <v>4</v>
      </c>
      <c r="H24" s="29" t="s">
        <v>5</v>
      </c>
      <c r="I24" s="29" t="s">
        <v>6</v>
      </c>
      <c r="J24" s="29" t="s">
        <v>7</v>
      </c>
      <c r="K24" s="29" t="s">
        <v>8</v>
      </c>
      <c r="L24" s="29" t="s">
        <v>9</v>
      </c>
      <c r="M24" s="29" t="s">
        <v>10</v>
      </c>
      <c r="N24" s="29" t="s">
        <v>11</v>
      </c>
      <c r="O24" s="29" t="s">
        <v>12</v>
      </c>
      <c r="P24" s="30" t="s">
        <v>30</v>
      </c>
    </row>
    <row r="25" spans="1:16" ht="15" thickBot="1" x14ac:dyDescent="0.35">
      <c r="B25" s="158" t="str">
        <f>B15</f>
        <v>Energy charge</v>
      </c>
      <c r="C25" s="159"/>
      <c r="D25" s="156">
        <f>D15*D11/100</f>
        <v>2365</v>
      </c>
      <c r="E25" s="50">
        <f t="shared" ref="E25:O25" si="8">E15*E11/100</f>
        <v>2365</v>
      </c>
      <c r="F25" s="50">
        <f t="shared" si="8"/>
        <v>2365</v>
      </c>
      <c r="G25" s="50">
        <f t="shared" si="8"/>
        <v>2365</v>
      </c>
      <c r="H25" s="50">
        <f t="shared" si="8"/>
        <v>2365</v>
      </c>
      <c r="I25" s="50">
        <f t="shared" si="8"/>
        <v>2365</v>
      </c>
      <c r="J25" s="50">
        <f t="shared" si="8"/>
        <v>2365</v>
      </c>
      <c r="K25" s="50">
        <f t="shared" si="8"/>
        <v>2365</v>
      </c>
      <c r="L25" s="50">
        <f t="shared" si="8"/>
        <v>2365</v>
      </c>
      <c r="M25" s="50">
        <f t="shared" si="8"/>
        <v>2365</v>
      </c>
      <c r="N25" s="50">
        <f t="shared" si="8"/>
        <v>2365</v>
      </c>
      <c r="O25" s="50">
        <f t="shared" si="8"/>
        <v>2365</v>
      </c>
      <c r="P25" s="44">
        <f>SUM(D25:O25)</f>
        <v>28380</v>
      </c>
    </row>
    <row r="26" spans="1:16" x14ac:dyDescent="0.3">
      <c r="B26" s="160" t="str">
        <f>B16</f>
        <v>Energy charge block 1</v>
      </c>
      <c r="C26" s="161"/>
      <c r="D26" s="33">
        <f>IF(D11&lt;601,D11*D16/100,600*D16/100)</f>
        <v>0</v>
      </c>
      <c r="E26" s="33">
        <f t="shared" ref="E26:O26" si="9">IF(E11&lt;601,E11*E16/100,600*E16/100)</f>
        <v>0</v>
      </c>
      <c r="F26" s="33">
        <f t="shared" si="9"/>
        <v>0</v>
      </c>
      <c r="G26" s="33">
        <f t="shared" si="9"/>
        <v>0</v>
      </c>
      <c r="H26" s="33">
        <f>IF(H11&lt;601,H11*H16/100,600*H16/100)</f>
        <v>0</v>
      </c>
      <c r="I26" s="33">
        <f t="shared" si="9"/>
        <v>0</v>
      </c>
      <c r="J26" s="33">
        <f t="shared" si="9"/>
        <v>0</v>
      </c>
      <c r="K26" s="33">
        <f t="shared" si="9"/>
        <v>0</v>
      </c>
      <c r="L26" s="33">
        <f t="shared" si="9"/>
        <v>0</v>
      </c>
      <c r="M26" s="33">
        <f t="shared" si="9"/>
        <v>0</v>
      </c>
      <c r="N26" s="33">
        <f t="shared" si="9"/>
        <v>0</v>
      </c>
      <c r="O26" s="33">
        <f t="shared" si="9"/>
        <v>0</v>
      </c>
      <c r="P26" s="49">
        <f t="shared" ref="P26:P33" si="10">SUM(D26:O26)</f>
        <v>0</v>
      </c>
    </row>
    <row r="27" spans="1:16" ht="15" thickBot="1" x14ac:dyDescent="0.35">
      <c r="B27" s="162" t="str">
        <f>B17</f>
        <v>Energy charge block 2</v>
      </c>
      <c r="C27" s="163"/>
      <c r="D27" s="38">
        <f>IF(D11&gt;600,(D11-600)*D17/100,0)</f>
        <v>0</v>
      </c>
      <c r="E27" s="38">
        <f t="shared" ref="E27:O27" si="11">IF(E11&gt;600,(E11-600)*E17/100,0)</f>
        <v>0</v>
      </c>
      <c r="F27" s="38">
        <f t="shared" si="11"/>
        <v>0</v>
      </c>
      <c r="G27" s="38">
        <f t="shared" si="11"/>
        <v>0</v>
      </c>
      <c r="H27" s="38">
        <f t="shared" si="11"/>
        <v>0</v>
      </c>
      <c r="I27" s="38">
        <f t="shared" si="11"/>
        <v>0</v>
      </c>
      <c r="J27" s="38">
        <f t="shared" si="11"/>
        <v>0</v>
      </c>
      <c r="K27" s="38">
        <f t="shared" si="11"/>
        <v>0</v>
      </c>
      <c r="L27" s="38">
        <f t="shared" si="11"/>
        <v>0</v>
      </c>
      <c r="M27" s="38">
        <f t="shared" si="11"/>
        <v>0</v>
      </c>
      <c r="N27" s="38">
        <f t="shared" si="11"/>
        <v>0</v>
      </c>
      <c r="O27" s="38">
        <f t="shared" si="11"/>
        <v>0</v>
      </c>
      <c r="P27" s="95">
        <f t="shared" si="10"/>
        <v>0</v>
      </c>
    </row>
    <row r="28" spans="1:16" ht="15" thickBot="1" x14ac:dyDescent="0.35">
      <c r="B28" s="164" t="s">
        <v>45</v>
      </c>
      <c r="C28" s="165"/>
      <c r="D28" s="96">
        <f>SUM(D26:D27)</f>
        <v>0</v>
      </c>
      <c r="E28" s="96">
        <f t="shared" ref="E28:O28" si="12">SUM(E26:E27)</f>
        <v>0</v>
      </c>
      <c r="F28" s="96">
        <f t="shared" si="12"/>
        <v>0</v>
      </c>
      <c r="G28" s="96">
        <f t="shared" si="12"/>
        <v>0</v>
      </c>
      <c r="H28" s="96">
        <f t="shared" si="12"/>
        <v>0</v>
      </c>
      <c r="I28" s="96">
        <f t="shared" si="12"/>
        <v>0</v>
      </c>
      <c r="J28" s="96">
        <f t="shared" si="12"/>
        <v>0</v>
      </c>
      <c r="K28" s="96">
        <f t="shared" si="12"/>
        <v>0</v>
      </c>
      <c r="L28" s="96">
        <f t="shared" si="12"/>
        <v>0</v>
      </c>
      <c r="M28" s="96">
        <f t="shared" si="12"/>
        <v>0</v>
      </c>
      <c r="N28" s="96">
        <f t="shared" si="12"/>
        <v>0</v>
      </c>
      <c r="O28" s="96">
        <f t="shared" si="12"/>
        <v>0</v>
      </c>
      <c r="P28" s="97">
        <f t="shared" si="10"/>
        <v>0</v>
      </c>
    </row>
    <row r="29" spans="1:16" x14ac:dyDescent="0.3">
      <c r="B29" s="166" t="str">
        <f t="shared" ref="B29:B31" si="13">B18</f>
        <v>Network capacity charge</v>
      </c>
      <c r="C29" s="167"/>
      <c r="D29" s="47">
        <f>D18*D10</f>
        <v>965.03</v>
      </c>
      <c r="E29" s="47">
        <f t="shared" ref="E29:O29" si="14">E18*E10</f>
        <v>965.03</v>
      </c>
      <c r="F29" s="47">
        <f t="shared" si="14"/>
        <v>933.9</v>
      </c>
      <c r="G29" s="47">
        <f t="shared" si="14"/>
        <v>965.03</v>
      </c>
      <c r="H29" s="47">
        <f t="shared" si="14"/>
        <v>933.9</v>
      </c>
      <c r="I29" s="47">
        <f t="shared" si="14"/>
        <v>965.03</v>
      </c>
      <c r="J29" s="47">
        <f t="shared" si="14"/>
        <v>965.03</v>
      </c>
      <c r="K29" s="47">
        <f t="shared" si="14"/>
        <v>902.77</v>
      </c>
      <c r="L29" s="47">
        <f t="shared" si="14"/>
        <v>965.03</v>
      </c>
      <c r="M29" s="47">
        <f t="shared" si="14"/>
        <v>933.9</v>
      </c>
      <c r="N29" s="47">
        <f t="shared" si="14"/>
        <v>965.03</v>
      </c>
      <c r="O29" s="47">
        <f t="shared" si="14"/>
        <v>933.9</v>
      </c>
      <c r="P29" s="48">
        <f t="shared" si="10"/>
        <v>11393.58</v>
      </c>
    </row>
    <row r="30" spans="1:16" x14ac:dyDescent="0.3">
      <c r="B30" s="150" t="str">
        <f t="shared" si="13"/>
        <v>Network demand charge</v>
      </c>
      <c r="C30" s="163"/>
      <c r="D30" s="38">
        <f>D19/100*D11</f>
        <v>583</v>
      </c>
      <c r="E30" s="38">
        <f t="shared" ref="E30:O30" si="15">E19/100*E11</f>
        <v>583</v>
      </c>
      <c r="F30" s="38">
        <f t="shared" si="15"/>
        <v>583</v>
      </c>
      <c r="G30" s="38">
        <f t="shared" si="15"/>
        <v>583</v>
      </c>
      <c r="H30" s="38">
        <f t="shared" si="15"/>
        <v>583</v>
      </c>
      <c r="I30" s="38">
        <f t="shared" si="15"/>
        <v>583</v>
      </c>
      <c r="J30" s="38">
        <f t="shared" si="15"/>
        <v>583</v>
      </c>
      <c r="K30" s="38">
        <f t="shared" si="15"/>
        <v>583</v>
      </c>
      <c r="L30" s="38">
        <f t="shared" si="15"/>
        <v>583</v>
      </c>
      <c r="M30" s="38">
        <f t="shared" si="15"/>
        <v>583</v>
      </c>
      <c r="N30" s="38">
        <f t="shared" si="15"/>
        <v>583</v>
      </c>
      <c r="O30" s="38">
        <f t="shared" si="15"/>
        <v>583</v>
      </c>
      <c r="P30" s="36">
        <f t="shared" si="10"/>
        <v>6996</v>
      </c>
    </row>
    <row r="31" spans="1:16" x14ac:dyDescent="0.3">
      <c r="B31" s="150" t="str">
        <f t="shared" si="13"/>
        <v>Ancillary service charge</v>
      </c>
      <c r="C31" s="163"/>
      <c r="D31" s="38">
        <f>D20/100*D11</f>
        <v>9.0000000000000018</v>
      </c>
      <c r="E31" s="38">
        <f t="shared" ref="E31:O31" si="16">E20/100*E11</f>
        <v>9.0000000000000018</v>
      </c>
      <c r="F31" s="38">
        <f t="shared" si="16"/>
        <v>9.0000000000000018</v>
      </c>
      <c r="G31" s="38">
        <f t="shared" si="16"/>
        <v>9.0000000000000018</v>
      </c>
      <c r="H31" s="38">
        <f t="shared" si="16"/>
        <v>9.0000000000000018</v>
      </c>
      <c r="I31" s="38">
        <f t="shared" si="16"/>
        <v>9.0000000000000018</v>
      </c>
      <c r="J31" s="38">
        <f t="shared" si="16"/>
        <v>9.0000000000000018</v>
      </c>
      <c r="K31" s="38">
        <f t="shared" si="16"/>
        <v>9.0000000000000018</v>
      </c>
      <c r="L31" s="38">
        <f t="shared" si="16"/>
        <v>9.0000000000000018</v>
      </c>
      <c r="M31" s="38">
        <f t="shared" si="16"/>
        <v>9.0000000000000018</v>
      </c>
      <c r="N31" s="38">
        <f t="shared" si="16"/>
        <v>9.0000000000000018</v>
      </c>
      <c r="O31" s="38">
        <f t="shared" si="16"/>
        <v>9.0000000000000018</v>
      </c>
      <c r="P31" s="36">
        <f t="shared" si="10"/>
        <v>108.00000000000001</v>
      </c>
    </row>
    <row r="32" spans="1:16" ht="15" thickBot="1" x14ac:dyDescent="0.35">
      <c r="B32" s="150" t="str">
        <f>B21</f>
        <v>Service and administration charge</v>
      </c>
      <c r="C32" s="163"/>
      <c r="D32" s="38">
        <f>D21*D10</f>
        <v>789.88</v>
      </c>
      <c r="E32" s="38">
        <f t="shared" ref="E32:O32" si="17">E21*E10</f>
        <v>789.88</v>
      </c>
      <c r="F32" s="38">
        <f t="shared" si="17"/>
        <v>764.4</v>
      </c>
      <c r="G32" s="38">
        <f t="shared" si="17"/>
        <v>789.88</v>
      </c>
      <c r="H32" s="38">
        <f t="shared" si="17"/>
        <v>764.4</v>
      </c>
      <c r="I32" s="38">
        <f t="shared" si="17"/>
        <v>789.88</v>
      </c>
      <c r="J32" s="38">
        <f t="shared" si="17"/>
        <v>789.88</v>
      </c>
      <c r="K32" s="38">
        <f t="shared" si="17"/>
        <v>738.92</v>
      </c>
      <c r="L32" s="38">
        <f t="shared" si="17"/>
        <v>789.88</v>
      </c>
      <c r="M32" s="38">
        <f t="shared" si="17"/>
        <v>764.4</v>
      </c>
      <c r="N32" s="38">
        <f t="shared" si="17"/>
        <v>789.88</v>
      </c>
      <c r="O32" s="38">
        <f t="shared" si="17"/>
        <v>764.4</v>
      </c>
      <c r="P32" s="36">
        <f t="shared" si="10"/>
        <v>9325.6799999999985</v>
      </c>
    </row>
    <row r="33" spans="2:16" x14ac:dyDescent="0.3">
      <c r="B33" s="152" t="s">
        <v>30</v>
      </c>
      <c r="C33" s="168"/>
      <c r="D33" s="33">
        <f>D32+D31+D30+D29+D28+D25</f>
        <v>4711.91</v>
      </c>
      <c r="E33" s="32">
        <f t="shared" ref="E33:O33" si="18">E32+E31+E30+E29+E28+E25</f>
        <v>4711.91</v>
      </c>
      <c r="F33" s="32">
        <f t="shared" si="18"/>
        <v>4655.3</v>
      </c>
      <c r="G33" s="32">
        <f t="shared" si="18"/>
        <v>4711.91</v>
      </c>
      <c r="H33" s="32">
        <f t="shared" si="18"/>
        <v>4655.3</v>
      </c>
      <c r="I33" s="32">
        <f t="shared" si="18"/>
        <v>4711.91</v>
      </c>
      <c r="J33" s="32">
        <f t="shared" si="18"/>
        <v>4711.91</v>
      </c>
      <c r="K33" s="32">
        <f t="shared" si="18"/>
        <v>4598.6900000000005</v>
      </c>
      <c r="L33" s="32">
        <f t="shared" si="18"/>
        <v>4711.91</v>
      </c>
      <c r="M33" s="32">
        <f t="shared" si="18"/>
        <v>4655.3</v>
      </c>
      <c r="N33" s="32">
        <f t="shared" si="18"/>
        <v>4711.91</v>
      </c>
      <c r="O33" s="32">
        <f t="shared" si="18"/>
        <v>4655.3</v>
      </c>
      <c r="P33" s="36">
        <f t="shared" si="10"/>
        <v>56203.260000000009</v>
      </c>
    </row>
    <row r="34" spans="2:16" ht="15" thickBot="1" x14ac:dyDescent="0.35">
      <c r="B34" s="153" t="s">
        <v>44</v>
      </c>
      <c r="C34" s="169"/>
      <c r="D34" s="157">
        <f>D33/D11*100</f>
        <v>235.59549999999999</v>
      </c>
      <c r="E34" s="93">
        <f t="shared" ref="E34:P34" si="19">E33/E11*100</f>
        <v>235.59549999999999</v>
      </c>
      <c r="F34" s="93">
        <f t="shared" si="19"/>
        <v>232.76500000000001</v>
      </c>
      <c r="G34" s="93">
        <f t="shared" si="19"/>
        <v>235.59549999999999</v>
      </c>
      <c r="H34" s="93">
        <f t="shared" si="19"/>
        <v>232.76500000000001</v>
      </c>
      <c r="I34" s="93">
        <f t="shared" si="19"/>
        <v>235.59549999999999</v>
      </c>
      <c r="J34" s="93">
        <f t="shared" si="19"/>
        <v>235.59549999999999</v>
      </c>
      <c r="K34" s="93">
        <f t="shared" si="19"/>
        <v>229.93450000000001</v>
      </c>
      <c r="L34" s="93">
        <f t="shared" si="19"/>
        <v>235.59549999999999</v>
      </c>
      <c r="M34" s="93">
        <f t="shared" si="19"/>
        <v>232.76500000000001</v>
      </c>
      <c r="N34" s="93">
        <f t="shared" si="19"/>
        <v>235.59549999999999</v>
      </c>
      <c r="O34" s="93">
        <f t="shared" si="19"/>
        <v>232.76500000000001</v>
      </c>
      <c r="P34" s="94">
        <f t="shared" si="19"/>
        <v>234.18025000000006</v>
      </c>
    </row>
  </sheetData>
  <sheetProtection algorithmName="SHA-512" hashValue="5KgQNJjF3qprmq9fpVa6wV8X8yY4kpZo85bBp2qaaUtbc50gyR7hjBO0aenQrTh04vRUDdvk6/rPqAY2p9glzg==" saltValue="S6XLCm+z3BnM1XRAL47DnA==" spinCount="100000" sheet="1" objects="1" scenarios="1"/>
  <protectedRanges>
    <protectedRange sqref="C2" name="Range2"/>
    <protectedRange sqref="D11:O11" name="Range3"/>
    <protectedRange sqref="C4" name="Range2_2"/>
  </protectedRange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'Tariff charges Current'!$N$2:$N$4</xm:f>
          </x14:formula1>
          <xm:sqref>C2</xm:sqref>
        </x14:dataValidation>
        <x14:dataValidation type="list" allowBlank="1" showInputMessage="1" showErrorMessage="1">
          <x14:formula1>
            <xm:f>'Tariff charges Current'!$V$3:$V$6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="80" zoomScaleNormal="80" workbookViewId="0">
      <selection activeCell="M9" sqref="M9"/>
    </sheetView>
  </sheetViews>
  <sheetFormatPr defaultRowHeight="14.4" x14ac:dyDescent="0.3"/>
  <cols>
    <col min="2" max="2" width="29.77734375" customWidth="1"/>
    <col min="3" max="3" width="14.6640625" customWidth="1"/>
    <col min="4" max="16" width="11.5546875" customWidth="1"/>
  </cols>
  <sheetData>
    <row r="1" spans="1:16" ht="15" thickBot="1" x14ac:dyDescent="0.35"/>
    <row r="2" spans="1:16" ht="15" thickBot="1" x14ac:dyDescent="0.35">
      <c r="B2" s="28" t="s">
        <v>26</v>
      </c>
      <c r="C2" s="51" t="s">
        <v>31</v>
      </c>
    </row>
    <row r="3" spans="1:16" ht="15" thickBot="1" x14ac:dyDescent="0.35">
      <c r="B3" s="28" t="s">
        <v>0</v>
      </c>
      <c r="C3" s="62">
        <f>'Current tariff'!C4</f>
        <v>1</v>
      </c>
    </row>
    <row r="6" spans="1:16" ht="15" thickBot="1" x14ac:dyDescent="0.35"/>
    <row r="7" spans="1:16" ht="18" thickBot="1" x14ac:dyDescent="0.35">
      <c r="A7" s="2"/>
      <c r="B7" t="str">
        <f>C2&amp;C3</f>
        <v>Municrate1</v>
      </c>
      <c r="D7" s="23" t="s">
        <v>1</v>
      </c>
      <c r="E7" s="23" t="s">
        <v>2</v>
      </c>
      <c r="F7" s="23" t="s">
        <v>3</v>
      </c>
      <c r="G7" s="23" t="s">
        <v>4</v>
      </c>
      <c r="H7" s="23" t="s">
        <v>5</v>
      </c>
      <c r="I7" s="23" t="s">
        <v>6</v>
      </c>
      <c r="J7" s="23" t="s">
        <v>7</v>
      </c>
      <c r="K7" s="23" t="s">
        <v>8</v>
      </c>
      <c r="L7" s="23" t="s">
        <v>9</v>
      </c>
      <c r="M7" s="23" t="s">
        <v>10</v>
      </c>
      <c r="N7" s="23" t="s">
        <v>11</v>
      </c>
      <c r="O7" s="78" t="s">
        <v>12</v>
      </c>
      <c r="P7" s="79" t="s">
        <v>30</v>
      </c>
    </row>
    <row r="8" spans="1:16" ht="18" thickBot="1" x14ac:dyDescent="0.35">
      <c r="A8" s="2"/>
      <c r="B8" s="24" t="s">
        <v>13</v>
      </c>
      <c r="C8" s="65" t="s">
        <v>14</v>
      </c>
      <c r="D8" s="67">
        <v>31</v>
      </c>
      <c r="E8" s="25">
        <v>31</v>
      </c>
      <c r="F8" s="25">
        <v>30</v>
      </c>
      <c r="G8" s="25">
        <v>31</v>
      </c>
      <c r="H8" s="25">
        <v>30</v>
      </c>
      <c r="I8" s="25">
        <v>31</v>
      </c>
      <c r="J8" s="25">
        <v>31</v>
      </c>
      <c r="K8" s="25">
        <v>28</v>
      </c>
      <c r="L8" s="25">
        <v>31</v>
      </c>
      <c r="M8" s="25">
        <v>30</v>
      </c>
      <c r="N8" s="25">
        <v>31</v>
      </c>
      <c r="O8" s="26">
        <v>30</v>
      </c>
      <c r="P8" s="80"/>
    </row>
    <row r="9" spans="1:16" ht="18" thickBot="1" x14ac:dyDescent="0.35">
      <c r="A9" s="2"/>
      <c r="B9" s="27" t="s">
        <v>15</v>
      </c>
      <c r="C9" s="66" t="s">
        <v>16</v>
      </c>
      <c r="D9" s="68">
        <f>'Current tariff'!D11</f>
        <v>2000</v>
      </c>
      <c r="E9" s="69">
        <f>'Current tariff'!E11</f>
        <v>2000</v>
      </c>
      <c r="F9" s="69">
        <f>'Current tariff'!F11</f>
        <v>2000</v>
      </c>
      <c r="G9" s="69">
        <f>'Current tariff'!G11</f>
        <v>2000</v>
      </c>
      <c r="H9" s="69">
        <f>'Current tariff'!H11</f>
        <v>2000</v>
      </c>
      <c r="I9" s="69">
        <f>'Current tariff'!I11</f>
        <v>2000</v>
      </c>
      <c r="J9" s="69">
        <f>'Current tariff'!J11</f>
        <v>2000</v>
      </c>
      <c r="K9" s="69">
        <f>'Current tariff'!K11</f>
        <v>2000</v>
      </c>
      <c r="L9" s="69">
        <f>'Current tariff'!L11</f>
        <v>2000</v>
      </c>
      <c r="M9" s="69">
        <f>'Current tariff'!M11</f>
        <v>2000</v>
      </c>
      <c r="N9" s="69">
        <f>'Current tariff'!N11</f>
        <v>2000</v>
      </c>
      <c r="O9" s="70">
        <f>'Current tariff'!O11</f>
        <v>2000</v>
      </c>
      <c r="P9" s="81">
        <f>SUM(D9:O9)</f>
        <v>24000</v>
      </c>
    </row>
    <row r="10" spans="1:16" ht="18" thickBot="1" x14ac:dyDescent="0.35">
      <c r="A10" s="2"/>
    </row>
    <row r="11" spans="1:16" ht="18" thickBot="1" x14ac:dyDescent="0.35">
      <c r="A11" s="2"/>
      <c r="B11" s="3"/>
      <c r="C11" s="3"/>
      <c r="D11" s="4" t="s">
        <v>1</v>
      </c>
      <c r="E11" s="5" t="s">
        <v>2</v>
      </c>
      <c r="F11" s="5" t="s">
        <v>3</v>
      </c>
      <c r="G11" s="5" t="s">
        <v>4</v>
      </c>
      <c r="H11" s="5" t="s">
        <v>5</v>
      </c>
      <c r="I11" s="5" t="s">
        <v>6</v>
      </c>
      <c r="J11" s="5" t="s">
        <v>7</v>
      </c>
      <c r="K11" s="5" t="s">
        <v>8</v>
      </c>
      <c r="L11" s="6" t="s">
        <v>9</v>
      </c>
      <c r="M11" s="4" t="s">
        <v>10</v>
      </c>
      <c r="N11" s="5" t="s">
        <v>11</v>
      </c>
      <c r="O11" s="6" t="s">
        <v>12</v>
      </c>
    </row>
    <row r="12" spans="1:16" ht="14.4" customHeight="1" x14ac:dyDescent="0.3">
      <c r="A12" s="2"/>
      <c r="B12" s="19" t="s">
        <v>20</v>
      </c>
      <c r="C12" s="10" t="s">
        <v>19</v>
      </c>
      <c r="D12" s="7">
        <f>IF(B7="Municrate4",'Tariff charges Current'!B7,'Tariff charges Current'!B4)</f>
        <v>118.84</v>
      </c>
      <c r="E12" s="8">
        <f>D12</f>
        <v>118.84</v>
      </c>
      <c r="F12" s="8">
        <f t="shared" ref="F12:O18" si="0">E12</f>
        <v>118.84</v>
      </c>
      <c r="G12" s="8">
        <f t="shared" si="0"/>
        <v>118.84</v>
      </c>
      <c r="H12" s="8">
        <f t="shared" si="0"/>
        <v>118.84</v>
      </c>
      <c r="I12" s="8">
        <f t="shared" si="0"/>
        <v>118.84</v>
      </c>
      <c r="J12" s="8">
        <f t="shared" si="0"/>
        <v>118.84</v>
      </c>
      <c r="K12" s="8">
        <f t="shared" si="0"/>
        <v>118.84</v>
      </c>
      <c r="L12" s="8">
        <f t="shared" si="0"/>
        <v>118.84</v>
      </c>
      <c r="M12" s="8">
        <f t="shared" si="0"/>
        <v>118.84</v>
      </c>
      <c r="N12" s="8">
        <f t="shared" si="0"/>
        <v>118.84</v>
      </c>
      <c r="O12" s="9">
        <f t="shared" si="0"/>
        <v>118.84</v>
      </c>
    </row>
    <row r="13" spans="1:16" ht="17.399999999999999" x14ac:dyDescent="0.3">
      <c r="A13" s="2"/>
      <c r="B13" s="20"/>
      <c r="C13" s="10"/>
      <c r="D13" s="52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4"/>
    </row>
    <row r="14" spans="1:16" ht="17.399999999999999" x14ac:dyDescent="0.3">
      <c r="A14" s="2"/>
      <c r="B14" s="20" t="s">
        <v>93</v>
      </c>
      <c r="C14" s="10" t="s">
        <v>19</v>
      </c>
      <c r="D14" s="14">
        <f>'Tariff charges Revised'!G4</f>
        <v>4.12</v>
      </c>
      <c r="E14" s="12">
        <f>D14</f>
        <v>4.12</v>
      </c>
      <c r="F14" s="12">
        <f t="shared" ref="F14" si="1">E14</f>
        <v>4.12</v>
      </c>
      <c r="G14" s="12">
        <f t="shared" ref="G14" si="2">F14</f>
        <v>4.12</v>
      </c>
      <c r="H14" s="12">
        <f t="shared" ref="H14" si="3">G14</f>
        <v>4.12</v>
      </c>
      <c r="I14" s="12">
        <f t="shared" ref="I14" si="4">H14</f>
        <v>4.12</v>
      </c>
      <c r="J14" s="12">
        <f t="shared" ref="J14" si="5">I14</f>
        <v>4.12</v>
      </c>
      <c r="K14" s="12">
        <f t="shared" ref="K14" si="6">J14</f>
        <v>4.12</v>
      </c>
      <c r="L14" s="12">
        <f t="shared" ref="L14" si="7">K14</f>
        <v>4.12</v>
      </c>
      <c r="M14" s="12">
        <f t="shared" ref="M14" si="8">L14</f>
        <v>4.12</v>
      </c>
      <c r="N14" s="12">
        <f t="shared" ref="N14" si="9">M14</f>
        <v>4.12</v>
      </c>
      <c r="O14" s="13">
        <f t="shared" ref="O14" si="10">D14</f>
        <v>4.12</v>
      </c>
    </row>
    <row r="15" spans="1:16" ht="17.399999999999999" x14ac:dyDescent="0.3">
      <c r="A15" s="2"/>
      <c r="B15" s="20" t="s">
        <v>17</v>
      </c>
      <c r="C15" s="10" t="s">
        <v>29</v>
      </c>
      <c r="D15" s="11">
        <f>'Tariff charges Revised'!O3</f>
        <v>19.16</v>
      </c>
      <c r="E15" s="12">
        <f>D15</f>
        <v>19.16</v>
      </c>
      <c r="F15" s="12">
        <f t="shared" si="0"/>
        <v>19.16</v>
      </c>
      <c r="G15" s="12">
        <f t="shared" si="0"/>
        <v>19.16</v>
      </c>
      <c r="H15" s="12">
        <f t="shared" si="0"/>
        <v>19.16</v>
      </c>
      <c r="I15" s="12">
        <f t="shared" si="0"/>
        <v>19.16</v>
      </c>
      <c r="J15" s="12">
        <f t="shared" si="0"/>
        <v>19.16</v>
      </c>
      <c r="K15" s="12">
        <f t="shared" si="0"/>
        <v>19.16</v>
      </c>
      <c r="L15" s="12">
        <f t="shared" si="0"/>
        <v>19.16</v>
      </c>
      <c r="M15" s="12">
        <f t="shared" si="0"/>
        <v>19.16</v>
      </c>
      <c r="N15" s="12">
        <f t="shared" si="0"/>
        <v>19.16</v>
      </c>
      <c r="O15" s="13">
        <f t="shared" ref="O15:O18" si="11">D15</f>
        <v>19.16</v>
      </c>
    </row>
    <row r="16" spans="1:16" ht="17.399999999999999" x14ac:dyDescent="0.3">
      <c r="A16" s="2"/>
      <c r="B16" s="20" t="s">
        <v>18</v>
      </c>
      <c r="C16" s="10" t="s">
        <v>19</v>
      </c>
      <c r="D16" s="14">
        <f>'Tariff charges Revised'!D4</f>
        <v>29.11</v>
      </c>
      <c r="E16" s="12">
        <f>D16</f>
        <v>29.11</v>
      </c>
      <c r="F16" s="12">
        <f t="shared" si="0"/>
        <v>29.11</v>
      </c>
      <c r="G16" s="12">
        <f t="shared" si="0"/>
        <v>29.11</v>
      </c>
      <c r="H16" s="12">
        <f t="shared" si="0"/>
        <v>29.11</v>
      </c>
      <c r="I16" s="12">
        <f t="shared" si="0"/>
        <v>29.11</v>
      </c>
      <c r="J16" s="12">
        <f t="shared" si="0"/>
        <v>29.11</v>
      </c>
      <c r="K16" s="12">
        <f t="shared" si="0"/>
        <v>29.11</v>
      </c>
      <c r="L16" s="12">
        <f t="shared" si="0"/>
        <v>29.11</v>
      </c>
      <c r="M16" s="12">
        <f t="shared" si="0"/>
        <v>29.11</v>
      </c>
      <c r="N16" s="12">
        <f t="shared" si="0"/>
        <v>29.11</v>
      </c>
      <c r="O16" s="13">
        <f t="shared" si="11"/>
        <v>29.11</v>
      </c>
    </row>
    <row r="17" spans="1:16" ht="17.399999999999999" x14ac:dyDescent="0.3">
      <c r="A17" s="2"/>
      <c r="B17" s="21" t="s">
        <v>21</v>
      </c>
      <c r="C17" s="10" t="s">
        <v>19</v>
      </c>
      <c r="D17" s="14">
        <f>'Tariff charges Revised'!C4</f>
        <v>0.23</v>
      </c>
      <c r="E17" s="12">
        <f t="shared" ref="E17:G18" si="12">D17</f>
        <v>0.23</v>
      </c>
      <c r="F17" s="12">
        <f t="shared" si="12"/>
        <v>0.23</v>
      </c>
      <c r="G17" s="12">
        <f t="shared" si="12"/>
        <v>0.23</v>
      </c>
      <c r="H17" s="12">
        <f t="shared" si="0"/>
        <v>0.23</v>
      </c>
      <c r="I17" s="12">
        <f t="shared" si="0"/>
        <v>0.23</v>
      </c>
      <c r="J17" s="12">
        <f t="shared" si="0"/>
        <v>0.23</v>
      </c>
      <c r="K17" s="12">
        <f t="shared" si="0"/>
        <v>0.23</v>
      </c>
      <c r="L17" s="12">
        <f t="shared" si="0"/>
        <v>0.23</v>
      </c>
      <c r="M17" s="12">
        <f t="shared" si="0"/>
        <v>0.23</v>
      </c>
      <c r="N17" s="12">
        <f t="shared" si="0"/>
        <v>0.23</v>
      </c>
      <c r="O17" s="13">
        <f t="shared" si="11"/>
        <v>0.23</v>
      </c>
    </row>
    <row r="18" spans="1:16" ht="18" thickBot="1" x14ac:dyDescent="0.35">
      <c r="A18" s="2"/>
      <c r="B18" s="22" t="s">
        <v>25</v>
      </c>
      <c r="C18" s="15" t="s">
        <v>22</v>
      </c>
      <c r="D18" s="16">
        <f>'Tariff charges Revised'!F4</f>
        <v>13.31</v>
      </c>
      <c r="E18" s="17">
        <f>D18</f>
        <v>13.31</v>
      </c>
      <c r="F18" s="17">
        <f t="shared" si="12"/>
        <v>13.31</v>
      </c>
      <c r="G18" s="17">
        <f t="shared" si="12"/>
        <v>13.31</v>
      </c>
      <c r="H18" s="17">
        <f t="shared" si="0"/>
        <v>13.31</v>
      </c>
      <c r="I18" s="17">
        <f t="shared" si="0"/>
        <v>13.31</v>
      </c>
      <c r="J18" s="17">
        <f t="shared" si="0"/>
        <v>13.31</v>
      </c>
      <c r="K18" s="17">
        <f t="shared" si="0"/>
        <v>13.31</v>
      </c>
      <c r="L18" s="17">
        <f t="shared" si="0"/>
        <v>13.31</v>
      </c>
      <c r="M18" s="17">
        <f t="shared" si="0"/>
        <v>13.31</v>
      </c>
      <c r="N18" s="17">
        <f t="shared" si="0"/>
        <v>13.31</v>
      </c>
      <c r="O18" s="18">
        <f t="shared" si="11"/>
        <v>13.31</v>
      </c>
    </row>
    <row r="19" spans="1:16" ht="17.399999999999999" x14ac:dyDescent="0.3">
      <c r="A19" s="2"/>
    </row>
    <row r="20" spans="1:16" ht="15" thickBot="1" x14ac:dyDescent="0.35"/>
    <row r="21" spans="1:16" ht="15" thickBot="1" x14ac:dyDescent="0.35">
      <c r="B21" s="3"/>
      <c r="C21" s="3"/>
      <c r="D21" s="29" t="s">
        <v>1</v>
      </c>
      <c r="E21" s="29" t="s">
        <v>2</v>
      </c>
      <c r="F21" s="29" t="s">
        <v>3</v>
      </c>
      <c r="G21" s="29" t="s">
        <v>4</v>
      </c>
      <c r="H21" s="29" t="s">
        <v>5</v>
      </c>
      <c r="I21" s="29" t="s">
        <v>6</v>
      </c>
      <c r="J21" s="29" t="s">
        <v>7</v>
      </c>
      <c r="K21" s="29" t="s">
        <v>8</v>
      </c>
      <c r="L21" s="29" t="s">
        <v>9</v>
      </c>
      <c r="M21" s="29" t="s">
        <v>10</v>
      </c>
      <c r="N21" s="29" t="s">
        <v>11</v>
      </c>
      <c r="O21" s="29" t="s">
        <v>12</v>
      </c>
      <c r="P21" s="30" t="s">
        <v>30</v>
      </c>
    </row>
    <row r="22" spans="1:16" ht="15" thickBot="1" x14ac:dyDescent="0.35">
      <c r="B22" s="42" t="str">
        <f>B12</f>
        <v>Energy charge</v>
      </c>
      <c r="C22" s="43"/>
      <c r="D22" s="50">
        <f>D12*D9/100</f>
        <v>2376.8000000000002</v>
      </c>
      <c r="E22" s="50">
        <f t="shared" ref="E22:O22" si="13">E12*E9/100</f>
        <v>2376.8000000000002</v>
      </c>
      <c r="F22" s="50">
        <f t="shared" si="13"/>
        <v>2376.8000000000002</v>
      </c>
      <c r="G22" s="50">
        <f t="shared" si="13"/>
        <v>2376.8000000000002</v>
      </c>
      <c r="H22" s="50">
        <f t="shared" si="13"/>
        <v>2376.8000000000002</v>
      </c>
      <c r="I22" s="50">
        <f t="shared" si="13"/>
        <v>2376.8000000000002</v>
      </c>
      <c r="J22" s="50">
        <f t="shared" si="13"/>
        <v>2376.8000000000002</v>
      </c>
      <c r="K22" s="50">
        <f t="shared" si="13"/>
        <v>2376.8000000000002</v>
      </c>
      <c r="L22" s="50">
        <f t="shared" si="13"/>
        <v>2376.8000000000002</v>
      </c>
      <c r="M22" s="50">
        <f t="shared" si="13"/>
        <v>2376.8000000000002</v>
      </c>
      <c r="N22" s="50">
        <f t="shared" si="13"/>
        <v>2376.8000000000002</v>
      </c>
      <c r="O22" s="50">
        <f t="shared" si="13"/>
        <v>2376.8000000000002</v>
      </c>
      <c r="P22" s="44">
        <f>SUM(D22:O22)</f>
        <v>28521.599999999995</v>
      </c>
    </row>
    <row r="23" spans="1:16" x14ac:dyDescent="0.3">
      <c r="B23" s="19"/>
      <c r="C23" s="31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49"/>
    </row>
    <row r="24" spans="1:16" ht="15" thickBot="1" x14ac:dyDescent="0.35">
      <c r="B24" s="20"/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/>
    </row>
    <row r="25" spans="1:16" ht="15" thickBot="1" x14ac:dyDescent="0.35">
      <c r="B25" s="39" t="s">
        <v>78</v>
      </c>
      <c r="C25" s="40"/>
      <c r="D25" s="41">
        <f>D14/100*D9</f>
        <v>82.4</v>
      </c>
      <c r="E25" s="41">
        <f t="shared" ref="E25:O25" si="14">E14/100*E9</f>
        <v>82.4</v>
      </c>
      <c r="F25" s="41">
        <f t="shared" si="14"/>
        <v>82.4</v>
      </c>
      <c r="G25" s="41">
        <f t="shared" si="14"/>
        <v>82.4</v>
      </c>
      <c r="H25" s="41">
        <f t="shared" si="14"/>
        <v>82.4</v>
      </c>
      <c r="I25" s="41">
        <f t="shared" si="14"/>
        <v>82.4</v>
      </c>
      <c r="J25" s="41">
        <f t="shared" si="14"/>
        <v>82.4</v>
      </c>
      <c r="K25" s="41">
        <f t="shared" si="14"/>
        <v>82.4</v>
      </c>
      <c r="L25" s="41">
        <f t="shared" si="14"/>
        <v>82.4</v>
      </c>
      <c r="M25" s="41">
        <f t="shared" si="14"/>
        <v>82.4</v>
      </c>
      <c r="N25" s="41">
        <f t="shared" si="14"/>
        <v>82.4</v>
      </c>
      <c r="O25" s="41">
        <f t="shared" si="14"/>
        <v>82.4</v>
      </c>
      <c r="P25" s="44">
        <f>SUM(D25:O25)</f>
        <v>988.79999999999984</v>
      </c>
    </row>
    <row r="26" spans="1:16" x14ac:dyDescent="0.3">
      <c r="B26" s="45" t="str">
        <f t="shared" ref="B26:B28" si="15">B15</f>
        <v>Network capacity charge</v>
      </c>
      <c r="C26" s="46"/>
      <c r="D26" s="47">
        <f>D15*D8</f>
        <v>593.96</v>
      </c>
      <c r="E26" s="47">
        <f t="shared" ref="E26:O26" si="16">E15*E8</f>
        <v>593.96</v>
      </c>
      <c r="F26" s="47">
        <f t="shared" si="16"/>
        <v>574.79999999999995</v>
      </c>
      <c r="G26" s="47">
        <f t="shared" si="16"/>
        <v>593.96</v>
      </c>
      <c r="H26" s="47">
        <f t="shared" si="16"/>
        <v>574.79999999999995</v>
      </c>
      <c r="I26" s="47">
        <f t="shared" si="16"/>
        <v>593.96</v>
      </c>
      <c r="J26" s="47">
        <f t="shared" si="16"/>
        <v>593.96</v>
      </c>
      <c r="K26" s="47">
        <f t="shared" si="16"/>
        <v>536.48</v>
      </c>
      <c r="L26" s="47">
        <f t="shared" si="16"/>
        <v>593.96</v>
      </c>
      <c r="M26" s="47">
        <f t="shared" si="16"/>
        <v>574.79999999999995</v>
      </c>
      <c r="N26" s="47">
        <f t="shared" si="16"/>
        <v>593.96</v>
      </c>
      <c r="O26" s="47">
        <f t="shared" si="16"/>
        <v>574.79999999999995</v>
      </c>
      <c r="P26" s="48">
        <f t="shared" ref="P26:P30" si="17">SUM(D26:O26)</f>
        <v>6993.4000000000015</v>
      </c>
    </row>
    <row r="27" spans="1:16" x14ac:dyDescent="0.3">
      <c r="B27" s="20" t="str">
        <f t="shared" si="15"/>
        <v>Network demand charge</v>
      </c>
      <c r="C27" s="37"/>
      <c r="D27" s="38">
        <f>D16/100*D9</f>
        <v>582.19999999999993</v>
      </c>
      <c r="E27" s="38">
        <f t="shared" ref="E27:O27" si="18">E16/100*E9</f>
        <v>582.19999999999993</v>
      </c>
      <c r="F27" s="38">
        <f t="shared" si="18"/>
        <v>582.19999999999993</v>
      </c>
      <c r="G27" s="38">
        <f t="shared" si="18"/>
        <v>582.19999999999993</v>
      </c>
      <c r="H27" s="38">
        <f t="shared" si="18"/>
        <v>582.19999999999993</v>
      </c>
      <c r="I27" s="38">
        <f t="shared" si="18"/>
        <v>582.19999999999993</v>
      </c>
      <c r="J27" s="38">
        <f t="shared" si="18"/>
        <v>582.19999999999993</v>
      </c>
      <c r="K27" s="38">
        <f t="shared" si="18"/>
        <v>582.19999999999993</v>
      </c>
      <c r="L27" s="38">
        <f t="shared" si="18"/>
        <v>582.19999999999993</v>
      </c>
      <c r="M27" s="38">
        <f t="shared" si="18"/>
        <v>582.19999999999993</v>
      </c>
      <c r="N27" s="38">
        <f t="shared" si="18"/>
        <v>582.19999999999993</v>
      </c>
      <c r="O27" s="38">
        <f t="shared" si="18"/>
        <v>582.19999999999993</v>
      </c>
      <c r="P27" s="36">
        <f t="shared" si="17"/>
        <v>6986.3999999999987</v>
      </c>
    </row>
    <row r="28" spans="1:16" x14ac:dyDescent="0.3">
      <c r="B28" s="20" t="str">
        <f t="shared" si="15"/>
        <v>Ancillary service charge</v>
      </c>
      <c r="C28" s="37"/>
      <c r="D28" s="38">
        <f>D17/100*D9</f>
        <v>4.5999999999999996</v>
      </c>
      <c r="E28" s="38">
        <f t="shared" ref="E28:O28" si="19">E17/100*E9</f>
        <v>4.5999999999999996</v>
      </c>
      <c r="F28" s="38">
        <f t="shared" si="19"/>
        <v>4.5999999999999996</v>
      </c>
      <c r="G28" s="38">
        <f t="shared" si="19"/>
        <v>4.5999999999999996</v>
      </c>
      <c r="H28" s="38">
        <f t="shared" si="19"/>
        <v>4.5999999999999996</v>
      </c>
      <c r="I28" s="38">
        <f t="shared" si="19"/>
        <v>4.5999999999999996</v>
      </c>
      <c r="J28" s="38">
        <f t="shared" si="19"/>
        <v>4.5999999999999996</v>
      </c>
      <c r="K28" s="38">
        <f t="shared" si="19"/>
        <v>4.5999999999999996</v>
      </c>
      <c r="L28" s="38">
        <f t="shared" si="19"/>
        <v>4.5999999999999996</v>
      </c>
      <c r="M28" s="38">
        <f t="shared" si="19"/>
        <v>4.5999999999999996</v>
      </c>
      <c r="N28" s="38">
        <f t="shared" si="19"/>
        <v>4.5999999999999996</v>
      </c>
      <c r="O28" s="38">
        <f t="shared" si="19"/>
        <v>4.5999999999999996</v>
      </c>
      <c r="P28" s="36">
        <f t="shared" si="17"/>
        <v>55.20000000000001</v>
      </c>
    </row>
    <row r="29" spans="1:16" ht="15" thickBot="1" x14ac:dyDescent="0.35">
      <c r="B29" s="20" t="str">
        <f>B18</f>
        <v>Service and administration charge</v>
      </c>
      <c r="C29" s="37"/>
      <c r="D29" s="38">
        <f>D18*D8</f>
        <v>412.61</v>
      </c>
      <c r="E29" s="38">
        <f t="shared" ref="E29:O29" si="20">E18*E8</f>
        <v>412.61</v>
      </c>
      <c r="F29" s="38">
        <f t="shared" si="20"/>
        <v>399.3</v>
      </c>
      <c r="G29" s="38">
        <f t="shared" si="20"/>
        <v>412.61</v>
      </c>
      <c r="H29" s="38">
        <f t="shared" si="20"/>
        <v>399.3</v>
      </c>
      <c r="I29" s="38">
        <f t="shared" si="20"/>
        <v>412.61</v>
      </c>
      <c r="J29" s="38">
        <f t="shared" si="20"/>
        <v>412.61</v>
      </c>
      <c r="K29" s="38">
        <f t="shared" si="20"/>
        <v>372.68</v>
      </c>
      <c r="L29" s="38">
        <f t="shared" si="20"/>
        <v>412.61</v>
      </c>
      <c r="M29" s="38">
        <f t="shared" si="20"/>
        <v>399.3</v>
      </c>
      <c r="N29" s="38">
        <f t="shared" si="20"/>
        <v>412.61</v>
      </c>
      <c r="O29" s="38">
        <f t="shared" si="20"/>
        <v>399.3</v>
      </c>
      <c r="P29" s="36">
        <f t="shared" si="17"/>
        <v>4858.1500000000005</v>
      </c>
    </row>
    <row r="30" spans="1:16" x14ac:dyDescent="0.3">
      <c r="B30" s="21" t="s">
        <v>30</v>
      </c>
      <c r="C30" s="34"/>
      <c r="D30" s="32">
        <f>D29+D28+D27+D26+D25+D22</f>
        <v>4052.57</v>
      </c>
      <c r="E30" s="32">
        <f t="shared" ref="E30:O30" si="21">E29+E28+E27+E26+E25+E22</f>
        <v>4052.57</v>
      </c>
      <c r="F30" s="32">
        <f t="shared" si="21"/>
        <v>4020.1000000000004</v>
      </c>
      <c r="G30" s="32">
        <f t="shared" si="21"/>
        <v>4052.57</v>
      </c>
      <c r="H30" s="32">
        <f t="shared" si="21"/>
        <v>4020.1000000000004</v>
      </c>
      <c r="I30" s="32">
        <f t="shared" si="21"/>
        <v>4052.57</v>
      </c>
      <c r="J30" s="32">
        <f t="shared" si="21"/>
        <v>4052.57</v>
      </c>
      <c r="K30" s="32">
        <f t="shared" si="21"/>
        <v>3955.1600000000003</v>
      </c>
      <c r="L30" s="32">
        <f t="shared" si="21"/>
        <v>4052.57</v>
      </c>
      <c r="M30" s="32">
        <f t="shared" si="21"/>
        <v>4020.1000000000004</v>
      </c>
      <c r="N30" s="32">
        <f t="shared" si="21"/>
        <v>4052.57</v>
      </c>
      <c r="O30" s="32">
        <f t="shared" si="21"/>
        <v>4020.1000000000004</v>
      </c>
      <c r="P30" s="36">
        <f t="shared" si="17"/>
        <v>48403.55</v>
      </c>
    </row>
    <row r="31" spans="1:16" x14ac:dyDescent="0.3">
      <c r="B31" s="21" t="s">
        <v>44</v>
      </c>
      <c r="C31" s="34"/>
      <c r="D31" s="76">
        <f>D30/D9*100</f>
        <v>202.6285</v>
      </c>
      <c r="E31" s="76">
        <f t="shared" ref="E31:P31" si="22">E30/E9*100</f>
        <v>202.6285</v>
      </c>
      <c r="F31" s="76">
        <f t="shared" si="22"/>
        <v>201.00500000000002</v>
      </c>
      <c r="G31" s="76">
        <f t="shared" si="22"/>
        <v>202.6285</v>
      </c>
      <c r="H31" s="76">
        <f t="shared" si="22"/>
        <v>201.00500000000002</v>
      </c>
      <c r="I31" s="76">
        <f t="shared" si="22"/>
        <v>202.6285</v>
      </c>
      <c r="J31" s="76">
        <f t="shared" si="22"/>
        <v>202.6285</v>
      </c>
      <c r="K31" s="76">
        <f t="shared" si="22"/>
        <v>197.75800000000001</v>
      </c>
      <c r="L31" s="76">
        <f t="shared" si="22"/>
        <v>202.6285</v>
      </c>
      <c r="M31" s="76">
        <f t="shared" si="22"/>
        <v>201.00500000000002</v>
      </c>
      <c r="N31" s="76">
        <f t="shared" si="22"/>
        <v>202.6285</v>
      </c>
      <c r="O31" s="76">
        <f t="shared" si="22"/>
        <v>201.00500000000002</v>
      </c>
      <c r="P31" s="76">
        <f t="shared" si="22"/>
        <v>201.68145833333332</v>
      </c>
    </row>
  </sheetData>
  <sheetProtection algorithmName="SHA-512" hashValue="fnZHDBI1kQEtNmFdniW9qPZe6TAxAPOPoQ2Pi3TOmehkHNhZp61r2zyDejN81SbGqkfV6MtDexeIN/6qmsJ49g==" saltValue="9Gd6ILxNWYr3YNRypt9Y2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zoomScale="77" workbookViewId="0">
      <selection activeCell="D9" sqref="D9"/>
    </sheetView>
  </sheetViews>
  <sheetFormatPr defaultRowHeight="14.4" x14ac:dyDescent="0.3"/>
  <cols>
    <col min="2" max="2" width="34.21875" customWidth="1"/>
    <col min="3" max="5" width="21.33203125" customWidth="1"/>
    <col min="6" max="6" width="12.33203125" customWidth="1"/>
    <col min="8" max="10" width="18.109375" customWidth="1"/>
  </cols>
  <sheetData>
    <row r="1" spans="2:10" ht="15" thickBot="1" x14ac:dyDescent="0.35"/>
    <row r="2" spans="2:10" ht="15" thickBot="1" x14ac:dyDescent="0.35">
      <c r="E2" s="143" t="s">
        <v>98</v>
      </c>
      <c r="F2" s="144">
        <f>'Current tariff'!P11/12</f>
        <v>2000</v>
      </c>
      <c r="H2" s="82"/>
      <c r="I2" s="83"/>
      <c r="J2" s="83"/>
    </row>
    <row r="3" spans="2:10" ht="20.55" customHeight="1" thickBot="1" x14ac:dyDescent="0.35">
      <c r="B3" s="55" t="s">
        <v>32</v>
      </c>
      <c r="C3" s="56" t="str">
        <f>'Current tariff'!B9</f>
        <v>Landrate1</v>
      </c>
      <c r="D3" s="57" t="str">
        <f>Municrate!B7</f>
        <v>Municrate1</v>
      </c>
      <c r="E3" s="57" t="s">
        <v>110</v>
      </c>
      <c r="F3" s="58" t="s">
        <v>33</v>
      </c>
      <c r="H3" s="82"/>
      <c r="I3" s="83"/>
      <c r="J3" s="83"/>
    </row>
    <row r="4" spans="2:10" x14ac:dyDescent="0.3">
      <c r="B4" s="89"/>
      <c r="C4" s="60"/>
      <c r="D4" s="60"/>
      <c r="E4" s="60"/>
      <c r="F4" s="59"/>
      <c r="H4" s="82"/>
      <c r="I4" s="83"/>
      <c r="J4" s="83"/>
    </row>
    <row r="5" spans="2:10" x14ac:dyDescent="0.3">
      <c r="B5" s="59" t="str">
        <f>'Current tariff'!B25</f>
        <v>Energy charge</v>
      </c>
      <c r="C5" s="63">
        <f>'Current tariff'!P25</f>
        <v>28380</v>
      </c>
      <c r="D5" s="84">
        <f>Municrate!P22</f>
        <v>28521.599999999995</v>
      </c>
      <c r="E5" s="63">
        <f>D5-C5</f>
        <v>141.59999999999491</v>
      </c>
      <c r="F5" s="61"/>
      <c r="H5" s="82"/>
      <c r="I5" s="83"/>
      <c r="J5" s="83"/>
    </row>
    <row r="6" spans="2:10" x14ac:dyDescent="0.3">
      <c r="B6" s="59" t="str">
        <f>'Current tariff'!B26</f>
        <v>Energy charge block 1</v>
      </c>
      <c r="C6" s="63">
        <f>'Current tariff'!P26</f>
        <v>0</v>
      </c>
      <c r="D6" s="84">
        <f>Municrate!P23</f>
        <v>0</v>
      </c>
      <c r="E6" s="63">
        <f t="shared" ref="E6:E13" si="0">D6-C6</f>
        <v>0</v>
      </c>
      <c r="F6" s="61"/>
      <c r="H6" s="82"/>
      <c r="I6" s="83"/>
      <c r="J6" s="83"/>
    </row>
    <row r="7" spans="2:10" ht="15" thickBot="1" x14ac:dyDescent="0.35">
      <c r="B7" s="59" t="str">
        <f>'Current tariff'!B27</f>
        <v>Energy charge block 2</v>
      </c>
      <c r="C7" s="63">
        <f>'Current tariff'!P27</f>
        <v>0</v>
      </c>
      <c r="D7" s="84">
        <f>Municrate!P24</f>
        <v>0</v>
      </c>
      <c r="E7" s="63">
        <f t="shared" si="0"/>
        <v>0</v>
      </c>
      <c r="F7" s="61"/>
      <c r="H7" s="82"/>
      <c r="I7" s="83"/>
      <c r="J7" s="83"/>
    </row>
    <row r="8" spans="2:10" ht="15" thickBot="1" x14ac:dyDescent="0.35">
      <c r="B8" s="191" t="str">
        <f>'Current tariff'!B28</f>
        <v>Total IBT energy (Homepower only)</v>
      </c>
      <c r="C8" s="192">
        <f>'Current tariff'!P28</f>
        <v>0</v>
      </c>
      <c r="D8" s="193">
        <f>Municrate!P25</f>
        <v>988.79999999999984</v>
      </c>
      <c r="E8" s="192">
        <f t="shared" si="0"/>
        <v>988.79999999999984</v>
      </c>
      <c r="F8" s="92"/>
      <c r="H8" s="82"/>
      <c r="I8" s="83"/>
      <c r="J8" s="83"/>
    </row>
    <row r="9" spans="2:10" x14ac:dyDescent="0.3">
      <c r="B9" s="59" t="str">
        <f>'Current tariff'!B29</f>
        <v>Network capacity charge</v>
      </c>
      <c r="C9" s="63">
        <f>'Current tariff'!P29</f>
        <v>11393.58</v>
      </c>
      <c r="D9" s="84">
        <f>Municrate!P26</f>
        <v>6993.4000000000015</v>
      </c>
      <c r="E9" s="63">
        <f t="shared" si="0"/>
        <v>-4400.1799999999985</v>
      </c>
      <c r="F9" s="61"/>
      <c r="H9" s="82"/>
      <c r="I9" s="83"/>
      <c r="J9" s="83"/>
    </row>
    <row r="10" spans="2:10" x14ac:dyDescent="0.3">
      <c r="B10" s="59" t="str">
        <f>'Current tariff'!B30</f>
        <v>Network demand charge</v>
      </c>
      <c r="C10" s="63">
        <f>'Current tariff'!P30</f>
        <v>6996</v>
      </c>
      <c r="D10" s="84">
        <f>Municrate!P27</f>
        <v>6986.3999999999987</v>
      </c>
      <c r="E10" s="63">
        <f t="shared" si="0"/>
        <v>-9.6000000000012733</v>
      </c>
      <c r="F10" s="61"/>
      <c r="H10" s="82"/>
      <c r="I10" s="83"/>
      <c r="J10" s="83"/>
    </row>
    <row r="11" spans="2:10" x14ac:dyDescent="0.3">
      <c r="B11" s="59" t="str">
        <f>'Current tariff'!B31</f>
        <v>Ancillary service charge</v>
      </c>
      <c r="C11" s="63">
        <f>'Current tariff'!P31</f>
        <v>108.00000000000001</v>
      </c>
      <c r="D11" s="84">
        <f>Municrate!P28</f>
        <v>55.20000000000001</v>
      </c>
      <c r="E11" s="63">
        <f t="shared" si="0"/>
        <v>-52.800000000000004</v>
      </c>
      <c r="F11" s="61"/>
      <c r="H11" s="82"/>
      <c r="I11" s="83"/>
      <c r="J11" s="83"/>
    </row>
    <row r="12" spans="2:10" ht="15" thickBot="1" x14ac:dyDescent="0.35">
      <c r="B12" s="59" t="str">
        <f>'Current tariff'!B32</f>
        <v>Service and administration charge</v>
      </c>
      <c r="C12" s="63">
        <f>'Current tariff'!P32</f>
        <v>9325.6799999999985</v>
      </c>
      <c r="D12" s="84">
        <f>Municrate!P29</f>
        <v>4858.1500000000005</v>
      </c>
      <c r="E12" s="63">
        <f t="shared" si="0"/>
        <v>-4467.5299999999979</v>
      </c>
      <c r="F12" s="61"/>
      <c r="H12" s="82"/>
      <c r="I12" s="83"/>
      <c r="J12" s="83"/>
    </row>
    <row r="13" spans="2:10" ht="15" thickBot="1" x14ac:dyDescent="0.35">
      <c r="B13" s="62" t="str">
        <f>'Current tariff'!B33</f>
        <v>Total</v>
      </c>
      <c r="C13" s="87">
        <f>'Current tariff'!P33</f>
        <v>56203.260000000009</v>
      </c>
      <c r="D13" s="86">
        <f>Municrate!P30</f>
        <v>48403.55</v>
      </c>
      <c r="E13" s="87">
        <f t="shared" si="0"/>
        <v>-7799.7100000000064</v>
      </c>
      <c r="F13" s="88">
        <f>E13/C13</f>
        <v>-0.13877682540123126</v>
      </c>
      <c r="H13" s="82"/>
      <c r="I13" s="83"/>
      <c r="J13" s="83"/>
    </row>
    <row r="14" spans="2:10" ht="15" thickBot="1" x14ac:dyDescent="0.35">
      <c r="B14" s="91" t="s">
        <v>44</v>
      </c>
      <c r="C14" s="90">
        <f>C13/'Current tariff'!$P$11*100</f>
        <v>234.18025000000006</v>
      </c>
      <c r="D14" s="85">
        <f>D13/Municrate!$P$9*100</f>
        <v>201.68145833333332</v>
      </c>
      <c r="E14" s="85">
        <f>E13/'Current tariff'!$P$11*100</f>
        <v>-32.498791666666691</v>
      </c>
      <c r="F14" s="77"/>
      <c r="H14" s="82"/>
      <c r="I14" s="83"/>
      <c r="J14" s="83"/>
    </row>
    <row r="15" spans="2:10" x14ac:dyDescent="0.3">
      <c r="H15" s="82"/>
      <c r="I15" s="83"/>
      <c r="J15" s="83"/>
    </row>
  </sheetData>
  <sheetProtection algorithmName="SHA-512" hashValue="9aGfx0ZSFTyE1DhvcrBFX9hvb0uPgJEIszr9f3s3SSri8UDhzxnK/xU4rz19cK68o1NJCumsD0W52aoUnVYEaQ==" saltValue="ydWGv86nT0TUeDy33vs9ww==" spinCount="100000" sheet="1" objects="1" scenarios="1"/>
  <pageMargins left="0.7" right="0.7" top="0.75" bottom="0.75" header="0.3" footer="0.3"/>
  <pageSetup paperSize="9" scale="58" orientation="landscape" horizontalDpi="0" verticalDpi="0" r:id="rId1"/>
  <ignoredErrors>
    <ignoredError sqref="D1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"/>
  <sheetViews>
    <sheetView topLeftCell="A5" workbookViewId="0">
      <selection activeCell="D8" sqref="D8"/>
    </sheetView>
  </sheetViews>
  <sheetFormatPr defaultRowHeight="14.4" x14ac:dyDescent="0.3"/>
  <cols>
    <col min="2" max="2" width="21.109375" customWidth="1"/>
  </cols>
  <sheetData>
    <row r="1" spans="1:18" x14ac:dyDescent="0.3">
      <c r="B1" s="196" t="s">
        <v>43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</row>
    <row r="2" spans="1:18" x14ac:dyDescent="0.3">
      <c r="C2">
        <f>IF('Current tariff'!C3="Homepower",600, 0)</f>
        <v>0</v>
      </c>
    </row>
    <row r="3" spans="1:18" x14ac:dyDescent="0.3">
      <c r="B3" s="71" t="s">
        <v>36</v>
      </c>
      <c r="C3" s="71">
        <v>100</v>
      </c>
      <c r="D3" s="71">
        <v>400</v>
      </c>
      <c r="E3" s="71">
        <v>600</v>
      </c>
      <c r="F3" s="71">
        <v>800</v>
      </c>
      <c r="G3" s="71">
        <v>1200</v>
      </c>
      <c r="H3" s="71">
        <v>2000</v>
      </c>
      <c r="I3" s="71">
        <v>3000</v>
      </c>
      <c r="J3" s="71">
        <v>4000</v>
      </c>
      <c r="K3" s="71">
        <v>5000</v>
      </c>
      <c r="L3" s="71">
        <v>6000</v>
      </c>
      <c r="M3" s="71">
        <v>7000</v>
      </c>
      <c r="N3" s="71">
        <v>8000</v>
      </c>
      <c r="O3" s="71">
        <v>9000</v>
      </c>
      <c r="P3" s="71">
        <v>10000</v>
      </c>
      <c r="Q3" s="71">
        <v>11000</v>
      </c>
      <c r="R3" s="71">
        <v>12000</v>
      </c>
    </row>
    <row r="4" spans="1:18" x14ac:dyDescent="0.3">
      <c r="A4" t="s">
        <v>37</v>
      </c>
      <c r="B4" t="str">
        <f>'Current tariff'!B9</f>
        <v>Landrate1</v>
      </c>
      <c r="C4" s="64">
        <f>IF(C3&lt;=$C$2,(C3*('Current tariff'!$D$15+'Current tariff'!$D$16+'Current tariff'!$D$19+'Current tariff'!$D$20)/100),IF(C3&gt;$C$2,($C$2*('Current tariff'!$D$15+'Current tariff'!$D$16+'Current tariff'!$D$19+'Current tariff'!$D$20)/100)+((C3-$C$2)*('Current tariff'!$D$15+'Current tariff'!$D$17+'Current tariff'!$D$19+'Current tariff'!$D$20)/100))+(('Current tariff'!$D$18+'Current tariff'!$D$21)*365/12))</f>
        <v>1869.7375</v>
      </c>
      <c r="D4" s="64">
        <f>IF(D3&lt;=$C$2,(D3*('Current tariff'!$D$15+'Current tariff'!$D$16+'Current tariff'!$D$19+'Current tariff'!$D$20)/100),IF(D3&gt;$C$2,($C$2*('Current tariff'!$D$15+'Current tariff'!$D$16+'Current tariff'!$D$19+'Current tariff'!$D$20)/100)+((D3-$C$2)*('Current tariff'!$D$15+'Current tariff'!$D$17+'Current tariff'!$D$19+'Current tariff'!$D$20)/100))+(('Current tariff'!$D$18+'Current tariff'!$D$21)*365/12))</f>
        <v>2313.2874999999999</v>
      </c>
      <c r="E4" s="64">
        <f>IF(E3&lt;=$C$2,(E3*('Current tariff'!$D$15+'Current tariff'!$D$16+'Current tariff'!$D$19+'Current tariff'!$D$20)/100),IF(E3&gt;$C$2,($C$2*('Current tariff'!$D$15+'Current tariff'!$D$16+'Current tariff'!$D$19+'Current tariff'!$D$20)/100)+((E3-$C$2)*('Current tariff'!$D$15+'Current tariff'!$D$17+'Current tariff'!$D$19+'Current tariff'!$D$20)/100))+(('Current tariff'!$D$18+'Current tariff'!$D$21)*365/12))</f>
        <v>2608.9875000000002</v>
      </c>
      <c r="F4" s="64">
        <f>IF(F3&lt;=$C$2,(F3*('Current tariff'!$D$15+'Current tariff'!$D$16+'Current tariff'!$D$19+'Current tariff'!$D$20)/100),IF(F3&gt;$C$2,($C$2*('Current tariff'!$D$15+'Current tariff'!$D$16+'Current tariff'!$D$19+'Current tariff'!$D$20)/100)+((F3-$C$2)*('Current tariff'!$D$15+'Current tariff'!$D$17+'Current tariff'!$D$19+'Current tariff'!$D$20)/100))+(('Current tariff'!$D$18+'Current tariff'!$D$21)*365/12))</f>
        <v>2904.6875</v>
      </c>
      <c r="G4" s="64">
        <f>IF(G3&lt;=$C$2,(G3*('Current tariff'!$D$15+'Current tariff'!$D$16+'Current tariff'!$D$19+'Current tariff'!$D$20)/100),IF(G3&gt;$C$2,($C$2*('Current tariff'!$D$15+'Current tariff'!$D$16+'Current tariff'!$D$19+'Current tariff'!$D$20)/100)+((G3-$C$2)*('Current tariff'!$D$15+'Current tariff'!$D$17+'Current tariff'!$D$19+'Current tariff'!$D$20)/100))+(('Current tariff'!$D$18+'Current tariff'!$D$21)*365/12))</f>
        <v>3496.0875000000001</v>
      </c>
      <c r="H4" s="64">
        <f>IF(H3&lt;=$C$2,(H3*('Current tariff'!$D$15+'Current tariff'!$D$16+'Current tariff'!$D$19+'Current tariff'!$D$20)/100),IF(H3&gt;$C$2,($C$2*('Current tariff'!$D$15+'Current tariff'!$D$16+'Current tariff'!$D$19+'Current tariff'!$D$20)/100)+((H3-$C$2)*('Current tariff'!$D$15+'Current tariff'!$D$17+'Current tariff'!$D$19+'Current tariff'!$D$20)/100))+(('Current tariff'!$D$18+'Current tariff'!$D$21)*365/12))</f>
        <v>4678.8874999999998</v>
      </c>
      <c r="I4" s="64">
        <f>IF(I3&lt;=$C$2,(I3*('Current tariff'!$D$15+'Current tariff'!$D$16+'Current tariff'!$D$19+'Current tariff'!$D$20)/100),IF(I3&gt;$C$2,($C$2*('Current tariff'!$D$15+'Current tariff'!$D$16+'Current tariff'!$D$19+'Current tariff'!$D$20)/100)+((I3-$C$2)*('Current tariff'!$D$15+'Current tariff'!$D$17+'Current tariff'!$D$19+'Current tariff'!$D$20)/100))+(('Current tariff'!$D$18+'Current tariff'!$D$21)*365/12))</f>
        <v>6157.3874999999998</v>
      </c>
      <c r="J4" s="64">
        <f>IF(J3&lt;=$C$2,(J3*('Current tariff'!$D$15+'Current tariff'!$D$16+'Current tariff'!$D$19+'Current tariff'!$D$20)/100),IF(J3&gt;$C$2,($C$2*('Current tariff'!$D$15+'Current tariff'!$D$16+'Current tariff'!$D$19+'Current tariff'!$D$20)/100)+((J3-$C$2)*('Current tariff'!$D$15+'Current tariff'!$D$17+'Current tariff'!$D$19+'Current tariff'!$D$20)/100))+(('Current tariff'!$D$18+'Current tariff'!$D$21)*365/12))</f>
        <v>7635.8874999999998</v>
      </c>
      <c r="K4" s="64">
        <f>IF(K3&lt;=$C$2,(K3*('Current tariff'!$D$15+'Current tariff'!$D$16+'Current tariff'!$D$19+'Current tariff'!$D$20)/100),IF(K3&gt;$C$2,($C$2*('Current tariff'!$D$15+'Current tariff'!$D$16+'Current tariff'!$D$19+'Current tariff'!$D$20)/100)+((K3-$C$2)*('Current tariff'!$D$15+'Current tariff'!$D$17+'Current tariff'!$D$19+'Current tariff'!$D$20)/100))+(('Current tariff'!$D$18+'Current tariff'!$D$21)*365/12))</f>
        <v>9114.3875000000007</v>
      </c>
      <c r="L4" s="64">
        <f>IF(L3&lt;=$C$2,(L3*('Current tariff'!$D$15+'Current tariff'!$D$16+'Current tariff'!$D$19+'Current tariff'!$D$20)/100),IF(L3&gt;$C$2,($C$2*('Current tariff'!$D$15+'Current tariff'!$D$16+'Current tariff'!$D$19+'Current tariff'!$D$20)/100)+((L3-$C$2)*('Current tariff'!$D$15+'Current tariff'!$D$17+'Current tariff'!$D$19+'Current tariff'!$D$20)/100))+(('Current tariff'!$D$18+'Current tariff'!$D$21)*365/12))</f>
        <v>10592.887500000001</v>
      </c>
      <c r="M4" s="64">
        <f>IF(M3&lt;=$C$2,(M3*('Current tariff'!$D$15+'Current tariff'!$D$16+'Current tariff'!$D$19+'Current tariff'!$D$20)/100),IF(M3&gt;$C$2,($C$2*('Current tariff'!$D$15+'Current tariff'!$D$16+'Current tariff'!$D$19+'Current tariff'!$D$20)/100)+((M3-$C$2)*('Current tariff'!$D$15+'Current tariff'!$D$17+'Current tariff'!$D$19+'Current tariff'!$D$20)/100))+(('Current tariff'!$D$18+'Current tariff'!$D$21)*365/12))</f>
        <v>12071.387500000001</v>
      </c>
      <c r="N4" s="64">
        <f>IF(N3&lt;=$C$2,(N3*('Current tariff'!$D$15+'Current tariff'!$D$16+'Current tariff'!$D$19+'Current tariff'!$D$20)/100),IF(N3&gt;$C$2,($C$2*('Current tariff'!$D$15+'Current tariff'!$D$16+'Current tariff'!$D$19+'Current tariff'!$D$20)/100)+((N3-$C$2)*('Current tariff'!$D$15+'Current tariff'!$D$17+'Current tariff'!$D$19+'Current tariff'!$D$20)/100))+(('Current tariff'!$D$18+'Current tariff'!$D$21)*365/12))</f>
        <v>13549.887500000001</v>
      </c>
      <c r="O4" s="64">
        <f>IF(O3&lt;=$C$2,(O3*('Current tariff'!$D$15+'Current tariff'!$D$16+'Current tariff'!$D$19+'Current tariff'!$D$20)/100),IF(O3&gt;$C$2,($C$2*('Current tariff'!$D$15+'Current tariff'!$D$16+'Current tariff'!$D$19+'Current tariff'!$D$20)/100)+((O3-$C$2)*('Current tariff'!$D$15+'Current tariff'!$D$17+'Current tariff'!$D$19+'Current tariff'!$D$20)/100))+(('Current tariff'!$D$18+'Current tariff'!$D$21)*365/12))</f>
        <v>15028.387500000001</v>
      </c>
      <c r="P4" s="64">
        <f>IF(P3&lt;=$C$2,(P3*('Current tariff'!$D$15+'Current tariff'!$D$16+'Current tariff'!$D$19+'Current tariff'!$D$20)/100),IF(P3&gt;$C$2,($C$2*('Current tariff'!$D$15+'Current tariff'!$D$16+'Current tariff'!$D$19+'Current tariff'!$D$20)/100)+((P3-$C$2)*('Current tariff'!$D$15+'Current tariff'!$D$17+'Current tariff'!$D$19+'Current tariff'!$D$20)/100))+(('Current tariff'!$D$18+'Current tariff'!$D$21)*365/12))</f>
        <v>16506.887500000001</v>
      </c>
      <c r="Q4" s="64">
        <f>IF(Q3&lt;=$C$2,(Q3*('Current tariff'!$D$15+'Current tariff'!$D$16+'Current tariff'!$D$19+'Current tariff'!$D$20)/100),IF(Q3&gt;$C$2,($C$2*('Current tariff'!$D$15+'Current tariff'!$D$16+'Current tariff'!$D$19+'Current tariff'!$D$20)/100)+((Q3-$C$2)*('Current tariff'!$D$15+'Current tariff'!$D$17+'Current tariff'!$D$19+'Current tariff'!$D$20)/100))+(('Current tariff'!$D$18+'Current tariff'!$D$21)*365/12))</f>
        <v>17985.387500000001</v>
      </c>
      <c r="R4" s="64">
        <f>IF(R3&lt;=$C$2,(R3*('Current tariff'!$D$15+'Current tariff'!$D$16+'Current tariff'!$D$19+'Current tariff'!$D$20)/100),IF(R3&gt;$C$2,($C$2*('Current tariff'!$D$15+'Current tariff'!$D$16+'Current tariff'!$D$19+'Current tariff'!$D$20)/100)+((R3-$C$2)*('Current tariff'!$D$15+'Current tariff'!$D$17+'Current tariff'!$D$19+'Current tariff'!$D$20)/100))+(('Current tariff'!$D$18+'Current tariff'!$D$21)*365/12))</f>
        <v>19463.887500000001</v>
      </c>
    </row>
    <row r="5" spans="1:18" x14ac:dyDescent="0.3">
      <c r="A5" t="s">
        <v>35</v>
      </c>
      <c r="B5" s="183" t="str">
        <f>Municrate!B7</f>
        <v>Municrate1</v>
      </c>
      <c r="C5" s="184">
        <f>(C3*(Municrate!$D$12+Municrate!$D$16+Municrate!$D$17)/100)+(Municrate!$D$15+Municrate!$D$18)*365/12</f>
        <v>1135.8091666666667</v>
      </c>
      <c r="D5" s="184">
        <f>(D3*(Municrate!$D$12+Municrate!$D$16+Municrate!$D$17)/100)+(Municrate!$D$15+Municrate!$D$18)*365/12</f>
        <v>1580.3491666666664</v>
      </c>
      <c r="E5" s="184">
        <f>(E3*(Municrate!$D$12+Municrate!$D$16+Municrate!$D$17)/100)+(Municrate!$D$15+Municrate!$D$18)*365/12</f>
        <v>1876.7091666666665</v>
      </c>
      <c r="F5" s="184">
        <f>(F3*(Municrate!$D$12+Municrate!$D$16+Municrate!$D$17)/100)+(Municrate!$D$15+Municrate!$D$18)*365/12</f>
        <v>2173.0691666666662</v>
      </c>
      <c r="G5" s="184">
        <f>(G3*(Municrate!$D$12+Municrate!$D$16+Municrate!$D$17)/100)+(Municrate!$D$15+Municrate!$D$18)*365/12</f>
        <v>2765.7891666666665</v>
      </c>
      <c r="H5" s="184">
        <f>(H3*(Municrate!$D$12+Municrate!$D$16+Municrate!$D$17)/100)+(Municrate!$D$15+Municrate!$D$18)*365/12</f>
        <v>3951.2291666666661</v>
      </c>
      <c r="I5" s="184">
        <f>(I3*(Municrate!$D$12+Municrate!$D$16+Municrate!$D$17)/100)+(Municrate!$D$15+Municrate!$D$18)*365/12</f>
        <v>5433.0291666666662</v>
      </c>
      <c r="J5" s="184">
        <f>(J3*(Municrate!$D$12+Municrate!$D$16+Municrate!$D$17)/100)+(Municrate!$D$15+Municrate!$D$18)*365/12</f>
        <v>6914.8291666666655</v>
      </c>
      <c r="K5" s="184">
        <f>(K3*(Municrate!$D$12+Municrate!$D$16+Municrate!$D$17)/100)+(Municrate!$D$15+Municrate!$D$18)*365/12</f>
        <v>8396.6291666666657</v>
      </c>
      <c r="L5" s="184">
        <f>(L3*(Municrate!$D$12+Municrate!$D$16+Municrate!$D$17)/100)+(Municrate!$D$15+Municrate!$D$18)*365/12</f>
        <v>9878.429166666665</v>
      </c>
      <c r="M5" s="184">
        <f>(M3*(Municrate!$D$12+Municrate!$D$16+Municrate!$D$17)/100)+(Municrate!$D$15+Municrate!$D$18)*365/12</f>
        <v>11360.229166666664</v>
      </c>
      <c r="N5" s="184">
        <f>(N3*(Municrate!$D$12+Municrate!$D$16+Municrate!$D$17)/100)+(Municrate!$D$15+Municrate!$D$18)*365/12</f>
        <v>12842.029166666664</v>
      </c>
      <c r="O5" s="184">
        <f>(O3*(Municrate!$D$12+Municrate!$D$16+Municrate!$D$17)/100)+(Municrate!$D$15+Municrate!$D$18)*365/12</f>
        <v>14323.829166666663</v>
      </c>
      <c r="P5" s="184">
        <f>(P3*(Municrate!$D$12+Municrate!$D$16+Municrate!$D$17)/100)+(Municrate!$D$15+Municrate!$D$18)*365/12</f>
        <v>15805.629166666666</v>
      </c>
      <c r="Q5" s="184">
        <f>(Q3*(Municrate!$D$12+Municrate!$D$16+Municrate!$D$17)/100)+(Municrate!$D$15+Municrate!$D$18)*365/12</f>
        <v>17287.429166666665</v>
      </c>
      <c r="R5" s="184">
        <f>(R3*(Municrate!$D$12+Municrate!$D$16+Municrate!$D$17)/100)+(Municrate!$D$15+Municrate!$D$18)*365/12</f>
        <v>18769.229166666664</v>
      </c>
    </row>
    <row r="6" spans="1:18" x14ac:dyDescent="0.3">
      <c r="B6" s="181" t="s">
        <v>34</v>
      </c>
      <c r="C6" s="182">
        <f>C5-C4</f>
        <v>-733.92833333333328</v>
      </c>
      <c r="D6" s="182">
        <f t="shared" ref="D6:R6" si="0">D5-D4</f>
        <v>-732.9383333333335</v>
      </c>
      <c r="E6" s="182">
        <f t="shared" si="0"/>
        <v>-732.27833333333365</v>
      </c>
      <c r="F6" s="182">
        <f t="shared" si="0"/>
        <v>-731.61833333333379</v>
      </c>
      <c r="G6" s="182">
        <f t="shared" si="0"/>
        <v>-730.29833333333363</v>
      </c>
      <c r="H6" s="182">
        <f t="shared" si="0"/>
        <v>-727.65833333333376</v>
      </c>
      <c r="I6" s="182">
        <f t="shared" si="0"/>
        <v>-724.35833333333358</v>
      </c>
      <c r="J6" s="182">
        <f t="shared" si="0"/>
        <v>-721.0583333333343</v>
      </c>
      <c r="K6" s="182">
        <f t="shared" si="0"/>
        <v>-717.75833333333503</v>
      </c>
      <c r="L6" s="182">
        <f t="shared" si="0"/>
        <v>-714.45833333333576</v>
      </c>
      <c r="M6" s="182">
        <f t="shared" si="0"/>
        <v>-711.15833333333649</v>
      </c>
      <c r="N6" s="182">
        <f t="shared" si="0"/>
        <v>-707.85833333333721</v>
      </c>
      <c r="O6" s="182">
        <f t="shared" si="0"/>
        <v>-704.55833333333794</v>
      </c>
      <c r="P6" s="182">
        <f t="shared" si="0"/>
        <v>-701.25833333333503</v>
      </c>
      <c r="Q6" s="182">
        <f t="shared" si="0"/>
        <v>-697.95833333333576</v>
      </c>
      <c r="R6" s="182">
        <f t="shared" si="0"/>
        <v>-694.65833333333649</v>
      </c>
    </row>
  </sheetData>
  <sheetProtection algorithmName="SHA-512" hashValue="+pk1NgdvVRG6aO0DFXVcxEZvIuU6uPyOeSKW/zswFDOqKiur6NB89afE/cnL4XndpJRWkG7gDsPdFNuEEYkG/w==" saltValue="2tQyaX+v4sWsekMl/qWmsA==" spinCount="100000" sheet="1" objects="1" scenarios="1"/>
  <protectedRanges>
    <protectedRange sqref="B3:R3" name="Range1"/>
  </protectedRanges>
  <mergeCells count="1">
    <mergeCell ref="B1:R1"/>
  </mergeCells>
  <pageMargins left="0.7" right="0.7" top="0.75" bottom="0.75" header="0.3" footer="0.3"/>
  <pageSetup paperSize="9" scale="78" orientation="landscape" horizontalDpi="0" verticalDpi="0" r:id="rId1"/>
  <ignoredErrors>
    <ignoredError sqref="C6:R6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I1" workbookViewId="0">
      <selection activeCell="W7" sqref="W7"/>
    </sheetView>
  </sheetViews>
  <sheetFormatPr defaultRowHeight="14.4" x14ac:dyDescent="0.3"/>
  <cols>
    <col min="1" max="1" width="17.33203125" customWidth="1"/>
    <col min="3" max="3" width="11.77734375" customWidth="1"/>
    <col min="4" max="13" width="12.21875" customWidth="1"/>
    <col min="14" max="14" width="11.77734375" customWidth="1"/>
  </cols>
  <sheetData>
    <row r="1" spans="1:22" ht="16.2" thickBot="1" x14ac:dyDescent="0.35">
      <c r="A1" s="197" t="s">
        <v>72</v>
      </c>
      <c r="B1" s="198"/>
      <c r="C1" s="198"/>
      <c r="D1" s="198"/>
      <c r="E1" s="198"/>
      <c r="F1" s="198"/>
      <c r="G1" s="198"/>
      <c r="H1" s="198"/>
      <c r="I1" s="198"/>
      <c r="J1" s="198"/>
      <c r="K1" s="199"/>
      <c r="N1" s="140">
        <f>'Current tariff'!C4</f>
        <v>1</v>
      </c>
      <c r="O1" s="138" t="s">
        <v>94</v>
      </c>
      <c r="P1" s="138" t="s">
        <v>95</v>
      </c>
      <c r="Q1" s="138" t="s">
        <v>96</v>
      </c>
      <c r="R1" s="138" t="s">
        <v>91</v>
      </c>
      <c r="S1" s="138" t="s">
        <v>92</v>
      </c>
      <c r="T1" s="138" t="s">
        <v>97</v>
      </c>
      <c r="V1" s="194" t="s">
        <v>111</v>
      </c>
    </row>
    <row r="2" spans="1:22" ht="16.2" thickBot="1" x14ac:dyDescent="0.35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6"/>
      <c r="M2" s="138">
        <v>1</v>
      </c>
      <c r="N2" s="139" t="s">
        <v>27</v>
      </c>
      <c r="O2" s="138">
        <f>INDEX(B18:B21,MATCH($N$1,$A$18:$A$21,0))</f>
        <v>136.04</v>
      </c>
      <c r="P2" s="138">
        <f>INDEX(C18:C21,MATCH($N$1,$A$18:$A$21,0))</f>
        <v>214.81</v>
      </c>
      <c r="Q2" s="138">
        <v>0</v>
      </c>
      <c r="R2" s="138">
        <v>0</v>
      </c>
      <c r="S2" s="138">
        <f>INDEX(E18:E21,MATCH($N$1,$A$18:$A$21,0))</f>
        <v>5.82</v>
      </c>
      <c r="T2" s="138">
        <v>0</v>
      </c>
      <c r="V2" s="194"/>
    </row>
    <row r="3" spans="1:22" ht="41.4" x14ac:dyDescent="0.3">
      <c r="A3" s="117" t="s">
        <v>88</v>
      </c>
      <c r="B3" s="118" t="s">
        <v>73</v>
      </c>
      <c r="C3" s="119" t="s">
        <v>74</v>
      </c>
      <c r="D3" s="118" t="s">
        <v>75</v>
      </c>
      <c r="E3" s="118" t="s">
        <v>76</v>
      </c>
      <c r="F3" s="118" t="s">
        <v>77</v>
      </c>
      <c r="G3" s="120" t="s">
        <v>78</v>
      </c>
      <c r="H3" s="121"/>
      <c r="K3" s="116"/>
      <c r="M3" s="138">
        <v>2</v>
      </c>
      <c r="N3" s="138" t="s">
        <v>28</v>
      </c>
      <c r="O3" s="138">
        <f>INDEX(B11:B14,MATCH($N$1,$A$11:$A$14,0))</f>
        <v>118.25</v>
      </c>
      <c r="P3" s="138">
        <v>0</v>
      </c>
      <c r="Q3" s="138">
        <f>INDEX(C11:C14,MATCH($N$1,$A$11:$A$14,0))</f>
        <v>0.45</v>
      </c>
      <c r="R3" s="138">
        <f t="shared" ref="R3:T3" si="0">INDEX(D11:D14,MATCH($N$1,$A$11:$A$14,0))</f>
        <v>29.15</v>
      </c>
      <c r="S3" s="138">
        <f t="shared" si="0"/>
        <v>31.13</v>
      </c>
      <c r="T3" s="138">
        <f t="shared" si="0"/>
        <v>25.48</v>
      </c>
      <c r="V3" s="194">
        <v>25</v>
      </c>
    </row>
    <row r="4" spans="1:22" x14ac:dyDescent="0.3">
      <c r="A4" s="122">
        <v>1</v>
      </c>
      <c r="B4" s="134">
        <v>118.84</v>
      </c>
      <c r="C4" s="134">
        <v>0.45</v>
      </c>
      <c r="D4" s="134">
        <v>16.47</v>
      </c>
      <c r="E4" s="134">
        <v>23.62</v>
      </c>
      <c r="F4" s="134">
        <v>20.22</v>
      </c>
      <c r="G4" s="136">
        <v>0</v>
      </c>
      <c r="H4" s="124"/>
      <c r="I4" s="125"/>
      <c r="J4" s="125"/>
      <c r="K4" s="116"/>
      <c r="M4" s="138">
        <v>3</v>
      </c>
      <c r="N4" s="138" t="s">
        <v>88</v>
      </c>
      <c r="O4" s="138">
        <f>INDEX(B4:B7,MATCH($N$1,$A$4:$A$7,0))</f>
        <v>118.84</v>
      </c>
      <c r="P4" s="138">
        <v>0</v>
      </c>
      <c r="Q4" s="138">
        <f>INDEX(C4:C7,MATCH($N$1,$A$4:$A$7,0))</f>
        <v>0.45</v>
      </c>
      <c r="R4" s="138">
        <f t="shared" ref="R4:T4" si="1">INDEX(D4:D7,MATCH($N$1,$A$4:$A$7,0))</f>
        <v>16.47</v>
      </c>
      <c r="S4" s="138">
        <f t="shared" si="1"/>
        <v>23.62</v>
      </c>
      <c r="T4" s="138">
        <f t="shared" si="1"/>
        <v>20.22</v>
      </c>
      <c r="V4" s="194">
        <v>50</v>
      </c>
    </row>
    <row r="5" spans="1:22" x14ac:dyDescent="0.3">
      <c r="A5" s="122">
        <v>2</v>
      </c>
      <c r="B5" s="134">
        <v>118.84</v>
      </c>
      <c r="C5" s="134">
        <v>0.45</v>
      </c>
      <c r="D5" s="134">
        <v>16.47</v>
      </c>
      <c r="E5" s="134">
        <v>39.83</v>
      </c>
      <c r="F5" s="134">
        <v>20.22</v>
      </c>
      <c r="G5" s="136">
        <v>0</v>
      </c>
      <c r="H5" s="124"/>
      <c r="I5" s="125"/>
      <c r="J5" s="125"/>
      <c r="K5" s="116"/>
      <c r="M5" s="138">
        <v>4</v>
      </c>
      <c r="S5" s="1"/>
      <c r="V5" s="194">
        <v>100</v>
      </c>
    </row>
    <row r="6" spans="1:22" ht="14.55" customHeight="1" x14ac:dyDescent="0.3">
      <c r="A6" s="122">
        <v>3</v>
      </c>
      <c r="B6" s="134">
        <v>118.84</v>
      </c>
      <c r="C6" s="134">
        <v>0.45</v>
      </c>
      <c r="D6" s="134">
        <v>16.47</v>
      </c>
      <c r="E6" s="134">
        <v>68.83</v>
      </c>
      <c r="F6" s="134">
        <v>20.22</v>
      </c>
      <c r="G6" s="136">
        <v>0</v>
      </c>
      <c r="H6" s="124"/>
      <c r="I6" s="125"/>
      <c r="J6" s="125"/>
      <c r="K6" s="116"/>
      <c r="S6" s="1"/>
      <c r="V6" s="194">
        <v>16</v>
      </c>
    </row>
    <row r="7" spans="1:22" ht="33.6" customHeight="1" thickBot="1" x14ac:dyDescent="0.35">
      <c r="A7" s="126">
        <v>4</v>
      </c>
      <c r="B7" s="135">
        <v>319.8</v>
      </c>
      <c r="C7" s="135">
        <v>0.45</v>
      </c>
      <c r="D7" s="135">
        <v>16.47</v>
      </c>
      <c r="E7" s="135">
        <v>0</v>
      </c>
      <c r="F7" s="135">
        <v>0</v>
      </c>
      <c r="G7" s="137">
        <v>0</v>
      </c>
      <c r="H7" s="124"/>
      <c r="I7" s="125"/>
      <c r="J7" s="125"/>
      <c r="K7" s="116"/>
    </row>
    <row r="8" spans="1:22" x14ac:dyDescent="0.3">
      <c r="A8" s="128"/>
      <c r="B8" s="125"/>
      <c r="C8" s="125"/>
      <c r="D8" s="125"/>
      <c r="E8" s="125"/>
      <c r="F8" s="125"/>
      <c r="G8" s="125"/>
      <c r="H8" s="125"/>
      <c r="I8" s="125"/>
      <c r="J8" s="125"/>
      <c r="K8" s="116"/>
      <c r="S8" s="1"/>
    </row>
    <row r="9" spans="1:22" ht="15" thickBot="1" x14ac:dyDescent="0.35">
      <c r="A9" s="128"/>
      <c r="B9" s="125"/>
      <c r="C9" s="125"/>
      <c r="D9" s="125"/>
      <c r="E9" s="125"/>
      <c r="F9" s="125"/>
      <c r="G9" s="125"/>
      <c r="H9" s="125"/>
      <c r="I9" s="125"/>
      <c r="J9" s="125"/>
      <c r="K9" s="116"/>
      <c r="S9" s="1"/>
    </row>
    <row r="10" spans="1:22" ht="40.5" customHeight="1" x14ac:dyDescent="0.3">
      <c r="A10" s="117" t="s">
        <v>28</v>
      </c>
      <c r="B10" s="118" t="s">
        <v>73</v>
      </c>
      <c r="C10" s="119" t="s">
        <v>74</v>
      </c>
      <c r="D10" s="118" t="s">
        <v>75</v>
      </c>
      <c r="E10" s="118" t="s">
        <v>76</v>
      </c>
      <c r="F10" s="118" t="s">
        <v>77</v>
      </c>
      <c r="G10" s="120" t="s">
        <v>78</v>
      </c>
      <c r="H10" s="125"/>
      <c r="I10" s="125"/>
      <c r="J10" s="125"/>
      <c r="K10" s="116"/>
      <c r="S10" s="1"/>
    </row>
    <row r="11" spans="1:22" ht="14.4" customHeight="1" x14ac:dyDescent="0.3">
      <c r="A11" s="122">
        <v>1</v>
      </c>
      <c r="B11" s="134">
        <v>118.25</v>
      </c>
      <c r="C11" s="134">
        <v>0.45</v>
      </c>
      <c r="D11" s="134">
        <v>29.15</v>
      </c>
      <c r="E11" s="134">
        <v>31.13</v>
      </c>
      <c r="F11" s="134">
        <v>25.48</v>
      </c>
      <c r="G11" s="136">
        <v>0</v>
      </c>
      <c r="H11" s="125"/>
      <c r="I11" s="125"/>
      <c r="J11" s="125"/>
      <c r="K11" s="116"/>
      <c r="S11" s="1"/>
    </row>
    <row r="12" spans="1:22" ht="14.4" customHeight="1" x14ac:dyDescent="0.3">
      <c r="A12" s="122">
        <v>2</v>
      </c>
      <c r="B12" s="134">
        <v>118.25</v>
      </c>
      <c r="C12" s="134">
        <v>0.45</v>
      </c>
      <c r="D12" s="134">
        <v>29.15</v>
      </c>
      <c r="E12" s="134">
        <v>47.85</v>
      </c>
      <c r="F12" s="134">
        <v>25.48</v>
      </c>
      <c r="G12" s="136">
        <v>0</v>
      </c>
      <c r="H12" s="125"/>
      <c r="I12" s="125"/>
      <c r="J12" s="125"/>
      <c r="K12" s="116"/>
      <c r="S12" s="1"/>
    </row>
    <row r="13" spans="1:22" ht="15" customHeight="1" x14ac:dyDescent="0.3">
      <c r="A13" s="122">
        <v>3</v>
      </c>
      <c r="B13" s="134">
        <v>118.25</v>
      </c>
      <c r="C13" s="134">
        <v>0.45</v>
      </c>
      <c r="D13" s="134">
        <v>29.15</v>
      </c>
      <c r="E13" s="134">
        <v>76.510000000000005</v>
      </c>
      <c r="F13" s="134">
        <v>25.48</v>
      </c>
      <c r="G13" s="136">
        <v>0</v>
      </c>
      <c r="H13" s="125"/>
      <c r="I13" s="125"/>
      <c r="J13" s="125"/>
      <c r="K13" s="116"/>
      <c r="S13" s="1"/>
    </row>
    <row r="14" spans="1:22" ht="15" thickBot="1" x14ac:dyDescent="0.35">
      <c r="A14" s="126">
        <v>4</v>
      </c>
      <c r="B14" s="135">
        <v>255.41</v>
      </c>
      <c r="C14" s="135">
        <v>0.45</v>
      </c>
      <c r="D14" s="135">
        <v>29.15</v>
      </c>
      <c r="E14" s="135">
        <v>24.79</v>
      </c>
      <c r="F14" s="135">
        <v>0</v>
      </c>
      <c r="G14" s="137">
        <v>0</v>
      </c>
      <c r="H14" s="125"/>
      <c r="I14" s="125"/>
      <c r="J14" s="125"/>
      <c r="K14" s="116"/>
      <c r="S14" s="1"/>
    </row>
    <row r="15" spans="1:22" x14ac:dyDescent="0.3">
      <c r="A15" s="128"/>
      <c r="B15" s="125"/>
      <c r="C15" s="125"/>
      <c r="D15" s="125"/>
      <c r="E15" s="125"/>
      <c r="F15" s="125"/>
      <c r="G15" s="125"/>
      <c r="H15" s="125"/>
      <c r="I15" s="125"/>
      <c r="J15" s="125"/>
      <c r="K15" s="116"/>
      <c r="S15" s="1"/>
    </row>
    <row r="16" spans="1:22" ht="15" thickBot="1" x14ac:dyDescent="0.35">
      <c r="A16" s="128"/>
      <c r="B16" s="125"/>
      <c r="C16" s="125"/>
      <c r="D16" s="125"/>
      <c r="E16" s="125"/>
      <c r="F16" s="125"/>
      <c r="G16" s="125"/>
      <c r="H16" s="125"/>
      <c r="I16" s="125"/>
      <c r="J16" s="125"/>
      <c r="K16" s="116"/>
    </row>
    <row r="17" spans="1:11" ht="25.05" customHeight="1" x14ac:dyDescent="0.3">
      <c r="A17" s="117" t="s">
        <v>27</v>
      </c>
      <c r="B17" s="118" t="s">
        <v>89</v>
      </c>
      <c r="C17" s="118" t="s">
        <v>90</v>
      </c>
      <c r="D17" s="118" t="s">
        <v>75</v>
      </c>
      <c r="E17" s="118" t="s">
        <v>76</v>
      </c>
      <c r="F17" s="118" t="s">
        <v>77</v>
      </c>
      <c r="G17" s="120" t="s">
        <v>78</v>
      </c>
      <c r="H17" s="125"/>
      <c r="I17" s="125"/>
      <c r="J17" s="125"/>
      <c r="K17" s="116"/>
    </row>
    <row r="18" spans="1:11" x14ac:dyDescent="0.3">
      <c r="A18" s="122">
        <v>1</v>
      </c>
      <c r="B18" s="134">
        <v>136.04</v>
      </c>
      <c r="C18" s="134">
        <v>214.81</v>
      </c>
      <c r="D18" s="134">
        <v>0</v>
      </c>
      <c r="E18" s="134">
        <v>5.82</v>
      </c>
      <c r="F18" s="134">
        <v>0</v>
      </c>
      <c r="G18" s="136">
        <v>0</v>
      </c>
      <c r="H18" s="125"/>
      <c r="I18" s="125"/>
      <c r="J18" s="125"/>
      <c r="K18" s="116"/>
    </row>
    <row r="19" spans="1:11" ht="14.55" customHeight="1" x14ac:dyDescent="0.3">
      <c r="A19" s="122">
        <v>2</v>
      </c>
      <c r="B19" s="134">
        <v>136.04</v>
      </c>
      <c r="C19" s="134">
        <v>209.42</v>
      </c>
      <c r="D19" s="134">
        <v>0</v>
      </c>
      <c r="E19" s="134">
        <v>10.92</v>
      </c>
      <c r="F19" s="134">
        <v>0</v>
      </c>
      <c r="G19" s="136">
        <v>0</v>
      </c>
      <c r="H19" s="125"/>
      <c r="I19" s="125"/>
      <c r="J19" s="125"/>
      <c r="K19" s="116"/>
    </row>
    <row r="20" spans="1:11" ht="14.55" customHeight="1" x14ac:dyDescent="0.3">
      <c r="A20" s="122">
        <v>3</v>
      </c>
      <c r="B20" s="134">
        <v>136.04</v>
      </c>
      <c r="C20" s="134">
        <v>209.42</v>
      </c>
      <c r="D20" s="134">
        <v>0</v>
      </c>
      <c r="E20" s="134">
        <v>22.55</v>
      </c>
      <c r="F20" s="134">
        <v>0</v>
      </c>
      <c r="G20" s="136">
        <v>0</v>
      </c>
      <c r="H20" s="125"/>
      <c r="I20" s="125"/>
      <c r="J20" s="125"/>
      <c r="K20" s="116"/>
    </row>
    <row r="21" spans="1:11" ht="14.55" customHeight="1" thickBot="1" x14ac:dyDescent="0.35">
      <c r="A21" s="126">
        <v>4</v>
      </c>
      <c r="B21" s="135">
        <v>136.04</v>
      </c>
      <c r="C21" s="135">
        <v>218.76</v>
      </c>
      <c r="D21" s="135">
        <v>0</v>
      </c>
      <c r="E21" s="135">
        <v>3.56</v>
      </c>
      <c r="F21" s="135">
        <v>0</v>
      </c>
      <c r="G21" s="137">
        <v>0</v>
      </c>
      <c r="H21" s="125"/>
      <c r="I21" s="125"/>
      <c r="J21" s="125"/>
      <c r="K21" s="116"/>
    </row>
    <row r="22" spans="1:11" ht="15" customHeight="1" x14ac:dyDescent="0.3">
      <c r="A22" s="128"/>
      <c r="B22" s="125"/>
      <c r="C22" s="125"/>
      <c r="D22" s="125"/>
      <c r="E22" s="125"/>
      <c r="F22" s="125"/>
      <c r="G22" s="125"/>
      <c r="H22" s="125"/>
      <c r="I22" s="125"/>
      <c r="J22" s="125"/>
      <c r="K22" s="116"/>
    </row>
    <row r="23" spans="1:11" ht="14.55" customHeight="1" x14ac:dyDescent="0.3">
      <c r="A23" s="128"/>
      <c r="B23" s="125"/>
      <c r="C23" s="125"/>
      <c r="D23" s="125"/>
      <c r="E23" s="125"/>
      <c r="F23" s="125"/>
      <c r="G23" s="125"/>
      <c r="H23" s="125"/>
      <c r="I23" s="125"/>
      <c r="J23" s="125"/>
      <c r="K23" s="116"/>
    </row>
    <row r="24" spans="1:11" ht="15" thickBot="1" x14ac:dyDescent="0.35">
      <c r="A24" s="128"/>
      <c r="B24" s="125"/>
      <c r="C24" s="125"/>
      <c r="D24" s="125"/>
      <c r="E24" s="125"/>
      <c r="F24" s="125"/>
      <c r="G24" s="125"/>
      <c r="H24" s="125"/>
      <c r="I24" s="125"/>
      <c r="J24" s="125"/>
      <c r="K24" s="116"/>
    </row>
    <row r="25" spans="1:11" ht="14.55" customHeight="1" x14ac:dyDescent="0.3">
      <c r="A25" s="129" t="s">
        <v>79</v>
      </c>
      <c r="B25" s="118" t="s">
        <v>80</v>
      </c>
      <c r="C25" s="130" t="s">
        <v>81</v>
      </c>
      <c r="D25" s="125"/>
      <c r="E25" s="125"/>
      <c r="F25" s="125"/>
      <c r="G25" s="125"/>
      <c r="H25" s="125"/>
      <c r="I25" s="125"/>
      <c r="J25" s="125"/>
      <c r="K25" s="116"/>
    </row>
    <row r="26" spans="1:11" ht="14.55" customHeight="1" x14ac:dyDescent="0.3">
      <c r="A26" s="122" t="s">
        <v>82</v>
      </c>
      <c r="B26" s="134">
        <v>95.93</v>
      </c>
      <c r="C26" s="134">
        <v>29.3</v>
      </c>
      <c r="D26" s="125"/>
      <c r="E26" s="125"/>
      <c r="F26" s="125"/>
      <c r="G26" s="125"/>
      <c r="H26" s="125"/>
      <c r="I26" s="125"/>
      <c r="J26" s="125"/>
      <c r="K26" s="116"/>
    </row>
    <row r="27" spans="1:11" ht="14.55" customHeight="1" x14ac:dyDescent="0.3">
      <c r="A27" s="122" t="s">
        <v>83</v>
      </c>
      <c r="B27" s="134">
        <v>128.44999999999999</v>
      </c>
      <c r="C27" s="134">
        <v>84.44</v>
      </c>
      <c r="D27" s="125"/>
      <c r="E27" s="125"/>
      <c r="F27" s="125"/>
      <c r="G27" s="125"/>
      <c r="H27" s="125"/>
      <c r="I27" s="125"/>
      <c r="J27" s="125"/>
      <c r="K27" s="116"/>
    </row>
    <row r="28" spans="1:11" ht="14.55" customHeight="1" thickBot="1" x14ac:dyDescent="0.35">
      <c r="A28" s="122" t="s">
        <v>84</v>
      </c>
      <c r="B28" s="134">
        <v>6.3077191148283678</v>
      </c>
      <c r="C28" s="134">
        <v>0</v>
      </c>
      <c r="D28" s="125"/>
      <c r="E28" s="125"/>
      <c r="F28" s="125"/>
      <c r="G28" s="125"/>
      <c r="H28" s="125"/>
      <c r="I28" s="125"/>
      <c r="J28" s="125"/>
      <c r="K28" s="116"/>
    </row>
    <row r="29" spans="1:11" ht="27.6" x14ac:dyDescent="0.3">
      <c r="A29" s="129" t="s">
        <v>85</v>
      </c>
      <c r="B29" s="118" t="s">
        <v>86</v>
      </c>
      <c r="C29" s="130" t="s">
        <v>87</v>
      </c>
      <c r="D29" s="125"/>
      <c r="E29" s="125"/>
      <c r="F29" s="125"/>
      <c r="G29" s="125"/>
      <c r="H29" s="125"/>
      <c r="I29" s="125"/>
      <c r="J29" s="125"/>
      <c r="K29" s="116"/>
    </row>
    <row r="30" spans="1:11" ht="15" thickBot="1" x14ac:dyDescent="0.35">
      <c r="A30" s="131"/>
      <c r="B30" s="134">
        <v>50.617882370494748</v>
      </c>
      <c r="C30" s="134">
        <v>1182.1400000000001</v>
      </c>
      <c r="D30" s="132"/>
      <c r="E30" s="132"/>
      <c r="F30" s="132"/>
      <c r="G30" s="132"/>
      <c r="H30" s="132"/>
      <c r="I30" s="132"/>
      <c r="J30" s="132"/>
      <c r="K30" s="133"/>
    </row>
  </sheetData>
  <mergeCells count="1">
    <mergeCell ref="A1:K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L14" sqref="L14"/>
    </sheetView>
  </sheetViews>
  <sheetFormatPr defaultRowHeight="14.4" x14ac:dyDescent="0.3"/>
  <sheetData>
    <row r="1" spans="1:16" ht="16.2" thickBot="1" x14ac:dyDescent="0.35">
      <c r="A1" s="197" t="s">
        <v>72</v>
      </c>
      <c r="B1" s="198"/>
      <c r="C1" s="198"/>
      <c r="D1" s="198"/>
      <c r="E1" s="198"/>
      <c r="F1" s="198"/>
      <c r="G1" s="198"/>
      <c r="H1" s="198"/>
      <c r="I1" s="198"/>
      <c r="J1" s="198"/>
      <c r="K1" s="199"/>
    </row>
    <row r="2" spans="1:16" ht="16.2" thickBot="1" x14ac:dyDescent="0.35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6"/>
      <c r="O2" t="s">
        <v>91</v>
      </c>
      <c r="P2" t="s">
        <v>92</v>
      </c>
    </row>
    <row r="3" spans="1:16" ht="55.2" x14ac:dyDescent="0.3">
      <c r="A3" s="117" t="s">
        <v>31</v>
      </c>
      <c r="B3" s="118" t="s">
        <v>73</v>
      </c>
      <c r="C3" s="119" t="s">
        <v>74</v>
      </c>
      <c r="D3" s="118" t="s">
        <v>75</v>
      </c>
      <c r="E3" s="118" t="s">
        <v>76</v>
      </c>
      <c r="F3" s="118" t="s">
        <v>77</v>
      </c>
      <c r="G3" s="120" t="s">
        <v>78</v>
      </c>
      <c r="H3" s="121"/>
      <c r="K3" s="116"/>
      <c r="N3">
        <f>Municrate!C3</f>
        <v>1</v>
      </c>
      <c r="O3">
        <f>INDEX(E4:E7,MATCH(N3,A4:A7,0))</f>
        <v>19.16</v>
      </c>
    </row>
    <row r="4" spans="1:16" x14ac:dyDescent="0.3">
      <c r="A4" s="122">
        <v>1</v>
      </c>
      <c r="B4" s="141">
        <v>108.61</v>
      </c>
      <c r="C4" s="141">
        <v>0.23</v>
      </c>
      <c r="D4" s="141">
        <v>29.11</v>
      </c>
      <c r="E4" s="141">
        <v>19.16</v>
      </c>
      <c r="F4" s="141">
        <v>13.31</v>
      </c>
      <c r="G4" s="123">
        <v>4.12</v>
      </c>
      <c r="H4" s="124"/>
      <c r="I4" s="125"/>
      <c r="J4" s="125"/>
      <c r="K4" s="116"/>
    </row>
    <row r="5" spans="1:16" x14ac:dyDescent="0.3">
      <c r="A5" s="122">
        <v>2</v>
      </c>
      <c r="B5" s="141">
        <v>108.61</v>
      </c>
      <c r="C5" s="141">
        <v>0.23</v>
      </c>
      <c r="D5" s="141">
        <v>29.11</v>
      </c>
      <c r="E5" s="141">
        <v>39.07</v>
      </c>
      <c r="F5" s="141">
        <v>13.31</v>
      </c>
      <c r="G5" s="123">
        <v>4.12</v>
      </c>
      <c r="H5" s="124"/>
      <c r="I5" s="125"/>
      <c r="J5" s="125"/>
      <c r="K5" s="116"/>
    </row>
    <row r="6" spans="1:16" x14ac:dyDescent="0.3">
      <c r="A6" s="122">
        <v>3</v>
      </c>
      <c r="B6" s="141">
        <v>108.61</v>
      </c>
      <c r="C6" s="141">
        <v>0.23</v>
      </c>
      <c r="D6" s="141">
        <v>29.11</v>
      </c>
      <c r="E6" s="141">
        <v>82.55</v>
      </c>
      <c r="F6" s="141">
        <v>13.31</v>
      </c>
      <c r="G6" s="123">
        <v>4.12</v>
      </c>
      <c r="H6" s="124"/>
      <c r="I6" s="125"/>
      <c r="J6" s="125"/>
      <c r="K6" s="116"/>
    </row>
    <row r="7" spans="1:16" ht="15" thickBot="1" x14ac:dyDescent="0.35">
      <c r="A7" s="126">
        <v>4</v>
      </c>
      <c r="B7" s="142">
        <v>172.99</v>
      </c>
      <c r="C7" s="142">
        <v>0.23</v>
      </c>
      <c r="D7" s="142">
        <v>29.11</v>
      </c>
      <c r="E7" s="142">
        <v>0</v>
      </c>
      <c r="F7" s="142">
        <v>0</v>
      </c>
      <c r="G7" s="127">
        <v>4.12</v>
      </c>
      <c r="H7" s="124"/>
      <c r="I7" s="125"/>
      <c r="J7" s="125"/>
      <c r="K7" s="116"/>
    </row>
    <row r="8" spans="1:16" x14ac:dyDescent="0.3">
      <c r="A8" s="128"/>
      <c r="B8" s="125"/>
      <c r="C8" s="125"/>
      <c r="D8" s="125"/>
      <c r="E8" s="125"/>
      <c r="F8" s="125"/>
      <c r="G8" s="125"/>
      <c r="H8" s="125"/>
      <c r="I8" s="125"/>
      <c r="J8" s="125"/>
      <c r="K8" s="116"/>
    </row>
    <row r="9" spans="1:16" ht="15" thickBot="1" x14ac:dyDescent="0.35">
      <c r="A9" s="128"/>
      <c r="B9" s="125"/>
      <c r="C9" s="125"/>
      <c r="D9" s="125"/>
      <c r="E9" s="125"/>
      <c r="F9" s="125"/>
      <c r="G9" s="125"/>
      <c r="H9" s="125"/>
      <c r="I9" s="125"/>
      <c r="J9" s="125"/>
      <c r="K9" s="116"/>
    </row>
    <row r="10" spans="1:16" ht="27.6" x14ac:dyDescent="0.3">
      <c r="A10" s="129" t="s">
        <v>79</v>
      </c>
      <c r="B10" s="118" t="s">
        <v>80</v>
      </c>
      <c r="C10" s="130" t="s">
        <v>81</v>
      </c>
      <c r="D10" s="125"/>
      <c r="E10" s="125"/>
      <c r="F10" s="125"/>
      <c r="G10" s="125"/>
      <c r="H10" s="125"/>
      <c r="I10" s="125"/>
      <c r="J10" s="125"/>
      <c r="K10" s="116"/>
    </row>
    <row r="11" spans="1:16" x14ac:dyDescent="0.3">
      <c r="A11" s="122" t="s">
        <v>82</v>
      </c>
      <c r="B11" s="141">
        <v>131.47999999999999</v>
      </c>
      <c r="C11" s="123">
        <v>43.83</v>
      </c>
      <c r="D11" s="125"/>
      <c r="E11" s="125"/>
      <c r="F11" s="125"/>
      <c r="G11" s="125"/>
      <c r="H11" s="125"/>
      <c r="I11" s="125"/>
      <c r="J11" s="125"/>
      <c r="K11" s="116"/>
    </row>
    <row r="12" spans="1:16" x14ac:dyDescent="0.3">
      <c r="A12" s="122" t="s">
        <v>83</v>
      </c>
      <c r="B12" s="141">
        <v>138.27000000000001</v>
      </c>
      <c r="C12" s="123">
        <v>100.94</v>
      </c>
      <c r="D12" s="125"/>
      <c r="E12" s="125"/>
      <c r="F12" s="125"/>
      <c r="G12" s="125"/>
      <c r="H12" s="125"/>
      <c r="I12" s="125"/>
      <c r="J12" s="125"/>
      <c r="K12" s="116"/>
    </row>
    <row r="13" spans="1:16" ht="15" thickBot="1" x14ac:dyDescent="0.35">
      <c r="A13" s="126" t="s">
        <v>84</v>
      </c>
      <c r="B13" s="142">
        <v>19.11</v>
      </c>
      <c r="C13" s="127">
        <v>0</v>
      </c>
      <c r="D13" s="125"/>
      <c r="E13" s="125"/>
      <c r="F13" s="125"/>
      <c r="G13" s="125"/>
      <c r="H13" s="125"/>
      <c r="I13" s="125"/>
      <c r="J13" s="125"/>
      <c r="K13" s="116"/>
    </row>
    <row r="14" spans="1:16" ht="41.4" x14ac:dyDescent="0.3">
      <c r="A14" s="129" t="s">
        <v>85</v>
      </c>
      <c r="B14" s="118" t="s">
        <v>86</v>
      </c>
      <c r="C14" s="130" t="s">
        <v>87</v>
      </c>
      <c r="D14" s="125"/>
      <c r="E14" s="125"/>
      <c r="F14" s="125"/>
      <c r="G14" s="125"/>
      <c r="H14" s="125"/>
      <c r="I14" s="125"/>
      <c r="J14" s="125"/>
      <c r="K14" s="116"/>
    </row>
    <row r="15" spans="1:16" ht="15" thickBot="1" x14ac:dyDescent="0.35">
      <c r="A15" s="131"/>
      <c r="B15" s="142">
        <v>45.53</v>
      </c>
      <c r="C15" s="127">
        <v>1063.29</v>
      </c>
      <c r="D15" s="132"/>
      <c r="E15" s="132"/>
      <c r="F15" s="132"/>
      <c r="G15" s="132"/>
      <c r="H15" s="132"/>
      <c r="I15" s="132"/>
      <c r="J15" s="132"/>
      <c r="K15" s="133"/>
    </row>
  </sheetData>
  <sheetProtection algorithmName="SHA-512" hashValue="i7x3Oz6ERxSDt6/38LcCRpkoaxibROHwq3HgogKPBpsYj8sm7eP4OFWQhyltXF+nKBDBiS/6wVrTs2Lkx5x8Yw==" saltValue="m/K0648PVRAq1k6usJUdVQ==" spinCount="100000" sheet="1" objects="1" scenarios="1"/>
  <mergeCells count="1">
    <mergeCell ref="A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BD8BC41CB0C48A52D454B67E46A92" ma:contentTypeVersion="1" ma:contentTypeDescription="Create a new document." ma:contentTypeScope="" ma:versionID="ea0f62248e86b24ca4ffc2a1b5465d3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5bf928bb74a0c5e591d1d636d7beea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8E7C96-B7C2-4A02-91F8-A7F4B5C205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6958FE-BED4-4970-A832-BADDCF93083A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F99226D-C647-4031-A527-D725178DD6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Current tariff</vt:lpstr>
      <vt:lpstr>Municrate</vt:lpstr>
      <vt:lpstr>Comparison</vt:lpstr>
      <vt:lpstr>Comp at different consumption</vt:lpstr>
      <vt:lpstr>Tariff charges Current</vt:lpstr>
      <vt:lpstr>Tariff charges Revised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Salvoldi</dc:creator>
  <cp:lastModifiedBy>Vic Pretorius</cp:lastModifiedBy>
  <cp:lastPrinted>2020-09-11T09:57:30Z</cp:lastPrinted>
  <dcterms:created xsi:type="dcterms:W3CDTF">2017-01-16T11:11:02Z</dcterms:created>
  <dcterms:modified xsi:type="dcterms:W3CDTF">2021-06-10T11:02:06Z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0x010100360BD8BC41CB0C48A52D454B67E46A92</vt:lpwstr>
  </property>
</Properties>
</file>