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torvg\Documents\PICS newsite\Distribution\"/>
    </mc:Choice>
  </mc:AlternateContent>
  <bookViews>
    <workbookView xWindow="0" yWindow="0" windowWidth="23040" windowHeight="7956"/>
  </bookViews>
  <sheets>
    <sheet name="Instructions" sheetId="6" r:id="rId1"/>
    <sheet name="Current tariff" sheetId="1" r:id="rId2"/>
    <sheet name="Revised tariff" sheetId="12" r:id="rId3"/>
    <sheet name="Comparison" sheetId="4" r:id="rId4"/>
    <sheet name="Comp at different consumption" sheetId="5" r:id="rId5"/>
    <sheet name="Tariff charges Current" sheetId="2" state="hidden" r:id="rId6"/>
    <sheet name="Tariff charges Revised" sheetId="9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2" i="5" l="1"/>
  <c r="V1" i="2"/>
  <c r="V7" i="2" s="1"/>
  <c r="W2" i="2"/>
  <c r="O4" i="2" s="1"/>
  <c r="V2" i="2"/>
  <c r="K3" i="2" l="1" a="1"/>
  <c r="K3" i="2" s="1"/>
  <c r="V6" i="2"/>
  <c r="V5" i="2"/>
  <c r="V4" i="2"/>
  <c r="M3" i="2"/>
  <c r="P3" i="2"/>
  <c r="P4" i="2"/>
  <c r="L2" i="2"/>
  <c r="M4" i="2"/>
  <c r="O3" i="2"/>
  <c r="K4" i="2"/>
  <c r="O2" i="2"/>
  <c r="N4" i="2"/>
  <c r="N3" i="2"/>
  <c r="K2" i="2"/>
  <c r="B8" i="1" l="1"/>
  <c r="O10" i="9"/>
  <c r="O9" i="9"/>
  <c r="P10" i="9"/>
  <c r="P9" i="9"/>
  <c r="L9" i="2"/>
  <c r="L10" i="2"/>
  <c r="K10" i="2"/>
  <c r="K9" i="2"/>
  <c r="D11" i="1"/>
  <c r="O5" i="2" l="1"/>
  <c r="N5" i="2"/>
  <c r="T8" i="9" l="1"/>
  <c r="P8" i="2"/>
  <c r="O7" i="9"/>
  <c r="O6" i="9"/>
  <c r="N11" i="9"/>
  <c r="J11" i="2"/>
  <c r="K6" i="2"/>
  <c r="K7" i="2"/>
  <c r="B2" i="4"/>
  <c r="D9" i="12"/>
  <c r="E10" i="12"/>
  <c r="F10" i="12"/>
  <c r="G10" i="12"/>
  <c r="H10" i="12"/>
  <c r="I10" i="12"/>
  <c r="J10" i="12"/>
  <c r="K10" i="12"/>
  <c r="L10" i="12"/>
  <c r="M10" i="12"/>
  <c r="N10" i="12"/>
  <c r="O10" i="12"/>
  <c r="S5" i="9"/>
  <c r="L5" i="2"/>
  <c r="M5" i="2"/>
  <c r="P5" i="2"/>
  <c r="K5" i="2"/>
  <c r="E11" i="1" l="1"/>
  <c r="E9" i="12" s="1"/>
  <c r="F11" i="1" l="1"/>
  <c r="G11" i="1" s="1"/>
  <c r="F9" i="12" l="1"/>
  <c r="G9" i="12"/>
  <c r="H11" i="1"/>
  <c r="H9" i="12" l="1"/>
  <c r="I11" i="1"/>
  <c r="J11" i="1" l="1"/>
  <c r="I9" i="12"/>
  <c r="J9" i="12" l="1"/>
  <c r="K11" i="1"/>
  <c r="K9" i="12" l="1"/>
  <c r="L11" i="1"/>
  <c r="L9" i="12" l="1"/>
  <c r="M11" i="1"/>
  <c r="N11" i="1" l="1"/>
  <c r="M9" i="12"/>
  <c r="O11" i="1" l="1"/>
  <c r="N9" i="12"/>
  <c r="O9" i="12" l="1"/>
  <c r="T5" i="9" l="1"/>
  <c r="O5" i="9"/>
  <c r="R5" i="9" l="1"/>
  <c r="Q5" i="9"/>
  <c r="E8" i="12" l="1"/>
  <c r="F8" i="12"/>
  <c r="G8" i="12"/>
  <c r="H8" i="12"/>
  <c r="I8" i="12"/>
  <c r="J8" i="12"/>
  <c r="K8" i="12"/>
  <c r="L8" i="12"/>
  <c r="M8" i="12"/>
  <c r="N8" i="12"/>
  <c r="O8" i="12"/>
  <c r="D8" i="12"/>
  <c r="C3" i="12" l="1"/>
  <c r="C2" i="12"/>
  <c r="B7" i="12" l="1"/>
  <c r="D10" i="12"/>
  <c r="N1" i="9" l="1"/>
  <c r="P2" i="9"/>
  <c r="P11" i="9" s="1"/>
  <c r="B25" i="12"/>
  <c r="B24" i="12"/>
  <c r="B23" i="12"/>
  <c r="B22" i="12"/>
  <c r="B21" i="12"/>
  <c r="P10" i="12"/>
  <c r="S3" i="9" l="1"/>
  <c r="O2" i="9"/>
  <c r="T3" i="9"/>
  <c r="B5" i="5"/>
  <c r="D3" i="4"/>
  <c r="S4" i="9" a="1"/>
  <c r="S4" i="9" s="1"/>
  <c r="U3" i="9"/>
  <c r="U2" i="9"/>
  <c r="Q2" i="9"/>
  <c r="T2" i="9"/>
  <c r="T4" i="9"/>
  <c r="R3" i="9"/>
  <c r="U4" i="9"/>
  <c r="R4" i="9"/>
  <c r="R2" i="9"/>
  <c r="Q3" i="9"/>
  <c r="S2" i="9"/>
  <c r="Q4" i="9"/>
  <c r="O4" i="9"/>
  <c r="O3" i="9"/>
  <c r="U11" i="9" l="1"/>
  <c r="D18" i="12" s="1"/>
  <c r="E18" i="12" s="1"/>
  <c r="R11" i="9"/>
  <c r="D15" i="12" s="1"/>
  <c r="T11" i="9"/>
  <c r="D17" i="12" s="1"/>
  <c r="O11" i="9"/>
  <c r="D13" i="12" s="1"/>
  <c r="S11" i="9"/>
  <c r="D14" i="12" s="1"/>
  <c r="D22" i="12" s="1"/>
  <c r="Q11" i="9"/>
  <c r="D16" i="12" s="1"/>
  <c r="D5" i="5" l="1"/>
  <c r="L5" i="5"/>
  <c r="P5" i="5"/>
  <c r="E5" i="5"/>
  <c r="M5" i="5"/>
  <c r="Q5" i="5"/>
  <c r="F5" i="5"/>
  <c r="N5" i="5"/>
  <c r="R5" i="5"/>
  <c r="G5" i="5"/>
  <c r="O5" i="5"/>
  <c r="H5" i="5"/>
  <c r="I5" i="5"/>
  <c r="C5" i="5"/>
  <c r="J5" i="5"/>
  <c r="K5" i="5"/>
  <c r="D21" i="12"/>
  <c r="D26" i="12"/>
  <c r="F18" i="12"/>
  <c r="E26" i="12"/>
  <c r="G18" i="12" l="1"/>
  <c r="F26" i="12"/>
  <c r="H18" i="12" l="1"/>
  <c r="G26" i="12"/>
  <c r="I18" i="12" l="1"/>
  <c r="H26" i="12"/>
  <c r="J18" i="12" l="1"/>
  <c r="I26" i="12"/>
  <c r="K18" i="12" l="1"/>
  <c r="J26" i="12"/>
  <c r="L18" i="12" l="1"/>
  <c r="K26" i="12"/>
  <c r="M18" i="12" l="1"/>
  <c r="L26" i="12"/>
  <c r="N18" i="12" l="1"/>
  <c r="M26" i="12"/>
  <c r="O18" i="12" l="1"/>
  <c r="O26" i="12" s="1"/>
  <c r="N26" i="12"/>
  <c r="P26" i="12" l="1"/>
  <c r="D9" i="4" s="1"/>
  <c r="E13" i="12" l="1"/>
  <c r="F13" i="12" l="1"/>
  <c r="E21" i="12"/>
  <c r="F21" i="12" l="1"/>
  <c r="G13" i="12"/>
  <c r="G21" i="12" l="1"/>
  <c r="H13" i="12"/>
  <c r="I13" i="12" l="1"/>
  <c r="H21" i="12"/>
  <c r="J13" i="12" l="1"/>
  <c r="I21" i="12"/>
  <c r="J21" i="12" l="1"/>
  <c r="K13" i="12"/>
  <c r="L13" i="12" l="1"/>
  <c r="K21" i="12"/>
  <c r="L21" i="12" l="1"/>
  <c r="M13" i="12"/>
  <c r="N13" i="12" l="1"/>
  <c r="M21" i="12"/>
  <c r="N21" i="12" l="1"/>
  <c r="O13" i="12"/>
  <c r="O21" i="12" s="1"/>
  <c r="P21" i="12" l="1"/>
  <c r="D5" i="4" s="1"/>
  <c r="M11" i="2" l="1"/>
  <c r="L11" i="2"/>
  <c r="D17" i="1" s="1"/>
  <c r="O11" i="2"/>
  <c r="D27" i="1" l="1"/>
  <c r="N11" i="2"/>
  <c r="D19" i="1" s="1"/>
  <c r="E19" i="1" s="1"/>
  <c r="K11" i="2"/>
  <c r="P11" i="2"/>
  <c r="D21" i="1" s="1"/>
  <c r="D20" i="1"/>
  <c r="D18" i="1"/>
  <c r="D29" i="1" s="1"/>
  <c r="E14" i="12"/>
  <c r="E22" i="12" s="1"/>
  <c r="O14" i="12"/>
  <c r="O22" i="12" s="1"/>
  <c r="B14" i="4"/>
  <c r="D16" i="1" l="1"/>
  <c r="D15" i="1"/>
  <c r="D31" i="1"/>
  <c r="D25" i="12"/>
  <c r="O17" i="12"/>
  <c r="O25" i="12" s="1"/>
  <c r="E17" i="12"/>
  <c r="F14" i="12"/>
  <c r="F22" i="12" s="1"/>
  <c r="E16" i="12"/>
  <c r="D24" i="12"/>
  <c r="O16" i="12"/>
  <c r="O24" i="12" s="1"/>
  <c r="E15" i="12"/>
  <c r="O15" i="12"/>
  <c r="O23" i="12" s="1"/>
  <c r="D23" i="12"/>
  <c r="D30" i="1"/>
  <c r="E30" i="1"/>
  <c r="F19" i="1"/>
  <c r="H4" i="5" l="1"/>
  <c r="C4" i="5"/>
  <c r="M4" i="5"/>
  <c r="P4" i="5"/>
  <c r="K4" i="5"/>
  <c r="I4" i="5"/>
  <c r="G4" i="5"/>
  <c r="F4" i="5"/>
  <c r="D4" i="5"/>
  <c r="J4" i="5"/>
  <c r="Q4" i="5"/>
  <c r="L4" i="5"/>
  <c r="E4" i="5"/>
  <c r="R4" i="5"/>
  <c r="N4" i="5"/>
  <c r="O4" i="5"/>
  <c r="D26" i="1"/>
  <c r="O27" i="12"/>
  <c r="O28" i="12" s="1"/>
  <c r="D27" i="12"/>
  <c r="D28" i="12" s="1"/>
  <c r="F15" i="12"/>
  <c r="E23" i="12"/>
  <c r="E24" i="12"/>
  <c r="F16" i="12"/>
  <c r="G14" i="12"/>
  <c r="G22" i="12" s="1"/>
  <c r="E25" i="12"/>
  <c r="F17" i="12"/>
  <c r="F30" i="1"/>
  <c r="G19" i="1"/>
  <c r="E27" i="12" l="1"/>
  <c r="E28" i="12" s="1"/>
  <c r="H14" i="12"/>
  <c r="H22" i="12" s="1"/>
  <c r="F25" i="12"/>
  <c r="G17" i="12"/>
  <c r="G16" i="12"/>
  <c r="F24" i="12"/>
  <c r="G15" i="12"/>
  <c r="F23" i="12"/>
  <c r="H19" i="1"/>
  <c r="G30" i="1"/>
  <c r="F27" i="12" l="1"/>
  <c r="F28" i="12" s="1"/>
  <c r="H15" i="12"/>
  <c r="G23" i="12"/>
  <c r="G25" i="12"/>
  <c r="H17" i="12"/>
  <c r="G24" i="12"/>
  <c r="H16" i="12"/>
  <c r="I14" i="12"/>
  <c r="I22" i="12" s="1"/>
  <c r="H30" i="1"/>
  <c r="I19" i="1"/>
  <c r="G27" i="12" l="1"/>
  <c r="G28" i="12" s="1"/>
  <c r="J14" i="12"/>
  <c r="J22" i="12" s="1"/>
  <c r="H24" i="12"/>
  <c r="I16" i="12"/>
  <c r="I17" i="12"/>
  <c r="H25" i="12"/>
  <c r="H23" i="12"/>
  <c r="I15" i="12"/>
  <c r="I30" i="1"/>
  <c r="J19" i="1"/>
  <c r="H27" i="12" l="1"/>
  <c r="H28" i="12" s="1"/>
  <c r="I24" i="12"/>
  <c r="J16" i="12"/>
  <c r="I23" i="12"/>
  <c r="J15" i="12"/>
  <c r="J17" i="12"/>
  <c r="I25" i="12"/>
  <c r="K14" i="12"/>
  <c r="K22" i="12" s="1"/>
  <c r="K19" i="1"/>
  <c r="K30" i="1" s="1"/>
  <c r="J30" i="1"/>
  <c r="I27" i="12" l="1"/>
  <c r="I28" i="12" s="1"/>
  <c r="L14" i="12"/>
  <c r="L22" i="12" s="1"/>
  <c r="J25" i="12"/>
  <c r="K17" i="12"/>
  <c r="K16" i="12"/>
  <c r="J24" i="12"/>
  <c r="J23" i="12"/>
  <c r="K15" i="12"/>
  <c r="J27" i="12" l="1"/>
  <c r="J28" i="12" s="1"/>
  <c r="L15" i="12"/>
  <c r="K23" i="12"/>
  <c r="K24" i="12"/>
  <c r="L16" i="12"/>
  <c r="K25" i="12"/>
  <c r="L17" i="12"/>
  <c r="M14" i="12"/>
  <c r="M22" i="12" s="1"/>
  <c r="K27" i="12" l="1"/>
  <c r="K28" i="12" s="1"/>
  <c r="N14" i="12"/>
  <c r="N22" i="12" s="1"/>
  <c r="L25" i="12"/>
  <c r="M17" i="12"/>
  <c r="M16" i="12"/>
  <c r="L24" i="12"/>
  <c r="L23" i="12"/>
  <c r="M15" i="12"/>
  <c r="E9" i="4"/>
  <c r="L27" i="12" l="1"/>
  <c r="L28" i="12" s="1"/>
  <c r="N15" i="12"/>
  <c r="N23" i="12" s="1"/>
  <c r="M23" i="12"/>
  <c r="N16" i="12"/>
  <c r="N24" i="12" s="1"/>
  <c r="M24" i="12"/>
  <c r="M25" i="12"/>
  <c r="N17" i="12"/>
  <c r="N25" i="12" s="1"/>
  <c r="P22" i="12"/>
  <c r="D10" i="4" s="1"/>
  <c r="N27" i="12" l="1"/>
  <c r="N28" i="12" s="1"/>
  <c r="M27" i="12"/>
  <c r="M28" i="12" s="1"/>
  <c r="P25" i="12"/>
  <c r="D13" i="4" s="1"/>
  <c r="P24" i="12"/>
  <c r="D12" i="4" s="1"/>
  <c r="P23" i="12"/>
  <c r="D11" i="4" s="1"/>
  <c r="P27" i="12" l="1"/>
  <c r="P28" i="12" s="1"/>
  <c r="D8" i="4"/>
  <c r="B32" i="1" l="1"/>
  <c r="B13" i="4" s="1"/>
  <c r="B29" i="1"/>
  <c r="B10" i="4" s="1"/>
  <c r="B30" i="1"/>
  <c r="B11" i="4" s="1"/>
  <c r="B31" i="1"/>
  <c r="B12" i="4" s="1"/>
  <c r="B27" i="1"/>
  <c r="B7" i="4" s="1"/>
  <c r="B26" i="1"/>
  <c r="B6" i="4" s="1"/>
  <c r="B25" i="1"/>
  <c r="B5" i="4" s="1"/>
  <c r="B4" i="5"/>
  <c r="D32" i="1"/>
  <c r="C3" i="4" l="1"/>
  <c r="E17" i="1"/>
  <c r="E27" i="1" s="1"/>
  <c r="F17" i="1" l="1"/>
  <c r="F27" i="1" s="1"/>
  <c r="O21" i="1"/>
  <c r="O32" i="1" s="1"/>
  <c r="O20" i="1"/>
  <c r="O31" i="1" s="1"/>
  <c r="O19" i="1"/>
  <c r="O30" i="1" s="1"/>
  <c r="P12" i="1"/>
  <c r="F2" i="4" s="1"/>
  <c r="G17" i="1" l="1"/>
  <c r="G27" i="1" s="1"/>
  <c r="E15" i="1"/>
  <c r="D25" i="1"/>
  <c r="E16" i="1"/>
  <c r="E26" i="1" s="1"/>
  <c r="D28" i="1"/>
  <c r="L19" i="1"/>
  <c r="E20" i="1"/>
  <c r="E21" i="1"/>
  <c r="D6" i="5" l="1"/>
  <c r="H6" i="5"/>
  <c r="L6" i="5"/>
  <c r="P6" i="5"/>
  <c r="E6" i="5"/>
  <c r="I6" i="5"/>
  <c r="M6" i="5"/>
  <c r="Q6" i="5"/>
  <c r="F6" i="5"/>
  <c r="J6" i="5"/>
  <c r="N6" i="5"/>
  <c r="R6" i="5"/>
  <c r="K6" i="5"/>
  <c r="O6" i="5"/>
  <c r="C6" i="5"/>
  <c r="G6" i="5"/>
  <c r="H17" i="1"/>
  <c r="H27" i="1" s="1"/>
  <c r="F21" i="1"/>
  <c r="E32" i="1"/>
  <c r="E18" i="1"/>
  <c r="E29" i="1" s="1"/>
  <c r="D33" i="1"/>
  <c r="D34" i="1" s="1"/>
  <c r="M19" i="1"/>
  <c r="L30" i="1"/>
  <c r="F20" i="1"/>
  <c r="E31" i="1"/>
  <c r="F16" i="1"/>
  <c r="F26" i="1" s="1"/>
  <c r="E28" i="1"/>
  <c r="F15" i="1"/>
  <c r="E25" i="1"/>
  <c r="O18" i="1"/>
  <c r="O29" i="1" s="1"/>
  <c r="I17" i="1" l="1"/>
  <c r="I27" i="1" s="1"/>
  <c r="F18" i="1"/>
  <c r="F29" i="1" s="1"/>
  <c r="E33" i="1"/>
  <c r="E34" i="1" s="1"/>
  <c r="G21" i="1"/>
  <c r="F32" i="1"/>
  <c r="N19" i="1"/>
  <c r="N30" i="1" s="1"/>
  <c r="M30" i="1"/>
  <c r="G20" i="1"/>
  <c r="F31" i="1"/>
  <c r="G16" i="1"/>
  <c r="G26" i="1" s="1"/>
  <c r="F28" i="1"/>
  <c r="G15" i="1"/>
  <c r="F25" i="1"/>
  <c r="J17" i="1" l="1"/>
  <c r="J27" i="1" s="1"/>
  <c r="F33" i="1"/>
  <c r="F34" i="1" s="1"/>
  <c r="G18" i="1"/>
  <c r="G29" i="1" s="1"/>
  <c r="H21" i="1"/>
  <c r="G32" i="1"/>
  <c r="H20" i="1"/>
  <c r="G31" i="1"/>
  <c r="H16" i="1"/>
  <c r="H26" i="1" s="1"/>
  <c r="G28" i="1"/>
  <c r="H15" i="1"/>
  <c r="G25" i="1"/>
  <c r="K17" i="1" l="1"/>
  <c r="K27" i="1" s="1"/>
  <c r="I21" i="1"/>
  <c r="H32" i="1"/>
  <c r="H18" i="1"/>
  <c r="H29" i="1" s="1"/>
  <c r="G33" i="1"/>
  <c r="G34" i="1" s="1"/>
  <c r="I20" i="1"/>
  <c r="H31" i="1"/>
  <c r="I16" i="1"/>
  <c r="I26" i="1" s="1"/>
  <c r="H28" i="1"/>
  <c r="I15" i="1"/>
  <c r="H25" i="1"/>
  <c r="J21" i="1" l="1"/>
  <c r="I32" i="1"/>
  <c r="H33" i="1"/>
  <c r="H34" i="1" s="1"/>
  <c r="I18" i="1"/>
  <c r="I29" i="1" s="1"/>
  <c r="J20" i="1"/>
  <c r="I31" i="1"/>
  <c r="P30" i="1" s="1"/>
  <c r="C11" i="4" s="1"/>
  <c r="E11" i="4" s="1"/>
  <c r="J16" i="1"/>
  <c r="J26" i="1" s="1"/>
  <c r="I28" i="1"/>
  <c r="J15" i="1"/>
  <c r="I25" i="1"/>
  <c r="I33" i="1" l="1"/>
  <c r="I34" i="1" s="1"/>
  <c r="J18" i="1"/>
  <c r="J29" i="1" s="1"/>
  <c r="K21" i="1"/>
  <c r="J32" i="1"/>
  <c r="K20" i="1"/>
  <c r="J31" i="1"/>
  <c r="K16" i="1"/>
  <c r="K26" i="1" s="1"/>
  <c r="J28" i="1"/>
  <c r="K15" i="1"/>
  <c r="J25" i="1"/>
  <c r="K18" i="1" l="1"/>
  <c r="K29" i="1" s="1"/>
  <c r="J33" i="1"/>
  <c r="J34" i="1" s="1"/>
  <c r="L21" i="1"/>
  <c r="K32" i="1"/>
  <c r="L20" i="1"/>
  <c r="K31" i="1"/>
  <c r="L16" i="1"/>
  <c r="L26" i="1" s="1"/>
  <c r="K28" i="1"/>
  <c r="L15" i="1"/>
  <c r="K25" i="1"/>
  <c r="L17" i="1"/>
  <c r="L27" i="1" s="1"/>
  <c r="M21" i="1" l="1"/>
  <c r="L32" i="1"/>
  <c r="K33" i="1"/>
  <c r="K34" i="1" s="1"/>
  <c r="L18" i="1"/>
  <c r="L29" i="1" s="1"/>
  <c r="M20" i="1"/>
  <c r="L31" i="1"/>
  <c r="M16" i="1"/>
  <c r="M26" i="1" s="1"/>
  <c r="L28" i="1"/>
  <c r="M17" i="1"/>
  <c r="M27" i="1" s="1"/>
  <c r="M15" i="1"/>
  <c r="L25" i="1"/>
  <c r="N21" i="1" l="1"/>
  <c r="N32" i="1" s="1"/>
  <c r="M32" i="1"/>
  <c r="L33" i="1"/>
  <c r="L34" i="1" s="1"/>
  <c r="M18" i="1"/>
  <c r="M29" i="1" s="1"/>
  <c r="N20" i="1"/>
  <c r="N31" i="1" s="1"/>
  <c r="M31" i="1"/>
  <c r="N16" i="1"/>
  <c r="N26" i="1" s="1"/>
  <c r="M28" i="1"/>
  <c r="N15" i="1"/>
  <c r="M25" i="1"/>
  <c r="N17" i="1"/>
  <c r="N27" i="1" s="1"/>
  <c r="N18" i="1" l="1"/>
  <c r="N29" i="1" s="1"/>
  <c r="O16" i="1"/>
  <c r="O26" i="1" s="1"/>
  <c r="N28" i="1"/>
  <c r="O17" i="1"/>
  <c r="O15" i="1"/>
  <c r="O25" i="1" s="1"/>
  <c r="N25" i="1"/>
  <c r="O27" i="1" l="1"/>
  <c r="P27" i="1" s="1"/>
  <c r="C7" i="4" s="1"/>
  <c r="D14" i="4"/>
  <c r="D15" i="4" s="1"/>
  <c r="N33" i="1"/>
  <c r="N34" i="1" s="1"/>
  <c r="P29" i="1"/>
  <c r="M33" i="1"/>
  <c r="M34" i="1" s="1"/>
  <c r="P26" i="1"/>
  <c r="P25" i="1"/>
  <c r="C5" i="4" s="1"/>
  <c r="P31" i="1"/>
  <c r="O28" i="1" l="1"/>
  <c r="O33" i="1" s="1"/>
  <c r="O34" i="1" s="1"/>
  <c r="E5" i="4"/>
  <c r="E7" i="4"/>
  <c r="C12" i="4"/>
  <c r="C10" i="4"/>
  <c r="C6" i="4"/>
  <c r="C8" i="4" s="1"/>
  <c r="P32" i="1"/>
  <c r="P33" i="1" l="1"/>
  <c r="P34" i="1" s="1"/>
  <c r="P28" i="1"/>
  <c r="E12" i="4"/>
  <c r="E6" i="4"/>
  <c r="E10" i="4"/>
  <c r="C13" i="4"/>
  <c r="C14" i="4" s="1"/>
  <c r="E13" i="4" l="1"/>
  <c r="E8" i="4"/>
  <c r="C15" i="4"/>
  <c r="E14" i="4" l="1"/>
  <c r="E15" i="4" s="1"/>
  <c r="F14" i="4" l="1"/>
  <c r="W7" i="2"/>
  <c r="W9" i="2" s="1"/>
  <c r="W6" i="2"/>
  <c r="W8" i="2" s="1"/>
  <c r="W10" i="2" s="1"/>
  <c r="W5" i="2"/>
  <c r="W4" i="2"/>
  <c r="V9" i="2"/>
  <c r="V8" i="2"/>
  <c r="J1" i="2"/>
</calcChain>
</file>

<file path=xl/comments1.xml><?xml version="1.0" encoding="utf-8"?>
<comments xmlns="http://schemas.openxmlformats.org/spreadsheetml/2006/main">
  <authors>
    <author>Shirley Salvoldi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Eskom</t>
        </r>
        <r>
          <rPr>
            <sz val="9"/>
            <color indexed="81"/>
            <rFont val="Tahoma"/>
            <family val="2"/>
          </rPr>
          <t xml:space="preserve">
Insert the monthly consumption</t>
        </r>
      </text>
    </comment>
  </commentList>
</comments>
</file>

<file path=xl/sharedStrings.xml><?xml version="1.0" encoding="utf-8"?>
<sst xmlns="http://schemas.openxmlformats.org/spreadsheetml/2006/main" count="331" uniqueCount="143">
  <si>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</si>
  <si>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</si>
  <si>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</si>
  <si>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</si>
  <si>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</si>
  <si>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</si>
  <si>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</si>
  <si>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</si>
  <si>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</si>
  <si>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</si>
  <si>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</si>
  <si>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</si>
  <si>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No. of days in billing month</t>
  </si>
  <si>
    <t>Unit</t>
  </si>
  <si>
    <t>Total energy consumed</t>
  </si>
  <si>
    <t>kWh</t>
  </si>
  <si>
    <t>Network capacity charge</t>
  </si>
  <si>
    <t>Network demand charge</t>
  </si>
  <si>
    <t>c/kWh</t>
  </si>
  <si>
    <t>Energy charge</t>
  </si>
  <si>
    <t>Ancillary service charge</t>
  </si>
  <si>
    <t>R/day</t>
  </si>
  <si>
    <t>Energy charge block 2</t>
  </si>
  <si>
    <t>Energy charge block 1</t>
  </si>
  <si>
    <t>Service and administration charge</t>
  </si>
  <si>
    <t>Homepower</t>
  </si>
  <si>
    <t>Landrate</t>
  </si>
  <si>
    <t>Total</t>
  </si>
  <si>
    <t>Comparison</t>
  </si>
  <si>
    <t>% Difference</t>
  </si>
  <si>
    <t>Difference</t>
  </si>
  <si>
    <t>kWh/m</t>
  </si>
  <si>
    <t>Lookups</t>
  </si>
  <si>
    <t>Inputs</t>
  </si>
  <si>
    <t>Selection</t>
  </si>
  <si>
    <t>Output/calculation</t>
  </si>
  <si>
    <t>Legend</t>
  </si>
  <si>
    <t xml:space="preserve">R/month comparison at different consumption levels </t>
  </si>
  <si>
    <t>Average c/kWh</t>
  </si>
  <si>
    <t>Landrate  1</t>
  </si>
  <si>
    <t>NMD</t>
  </si>
  <si>
    <t>25 kVA</t>
  </si>
  <si>
    <t>Businessrate 1</t>
  </si>
  <si>
    <t>√</t>
  </si>
  <si>
    <t>50 kVA</t>
  </si>
  <si>
    <t>Landrate  2</t>
  </si>
  <si>
    <t>Businessrate 2</t>
  </si>
  <si>
    <t>Homepower 1</t>
  </si>
  <si>
    <t>Homepower 2</t>
  </si>
  <si>
    <t>Landrate  3</t>
  </si>
  <si>
    <t>Homepower 3</t>
  </si>
  <si>
    <t>Landrate  4</t>
  </si>
  <si>
    <t>Homepower 4</t>
  </si>
  <si>
    <t>100 kVA</t>
  </si>
  <si>
    <t>16 kVA</t>
  </si>
  <si>
    <t>Businessrate 3</t>
  </si>
  <si>
    <t>Businessrate 4</t>
  </si>
  <si>
    <t>Comparison worksheet</t>
  </si>
  <si>
    <t>Comp at different consumption levels worksheet</t>
  </si>
  <si>
    <t>Instructions</t>
  </si>
  <si>
    <t>Energy Charge c/kWh</t>
  </si>
  <si>
    <t>Ancillary service charge c/kWh</t>
  </si>
  <si>
    <t>NDC c/kWh</t>
  </si>
  <si>
    <t>NCC R/POD/day</t>
  </si>
  <si>
    <t>Service and admin charge R/POD/day</t>
  </si>
  <si>
    <t>ERS charge</t>
  </si>
  <si>
    <t>Public Lighting munic</t>
  </si>
  <si>
    <t>All night</t>
  </si>
  <si>
    <t>R/100W/month</t>
  </si>
  <si>
    <t>All night c/kWh</t>
  </si>
  <si>
    <t>24 hours c/kWh</t>
  </si>
  <si>
    <t>Fixed charge R/day</t>
  </si>
  <si>
    <t>Maintenance charge</t>
  </si>
  <si>
    <t>Per luminaire</t>
  </si>
  <si>
    <t>Per High mast luminaire</t>
  </si>
  <si>
    <t>Businessrate</t>
  </si>
  <si>
    <t>Energy Charge c/kWh 1st block</t>
  </si>
  <si>
    <t>Energy Charge c/kWh 2nd block</t>
  </si>
  <si>
    <t>NDC</t>
  </si>
  <si>
    <t>NCC</t>
  </si>
  <si>
    <t>ERS</t>
  </si>
  <si>
    <t>Energy 1</t>
  </si>
  <si>
    <t>Energy 2</t>
  </si>
  <si>
    <t>AS</t>
  </si>
  <si>
    <t>Service and admin</t>
  </si>
  <si>
    <t>Total energy charge</t>
  </si>
  <si>
    <t>Energy charge c/kWh</t>
  </si>
  <si>
    <t>ERS + afford. subsidy charge</t>
  </si>
  <si>
    <t>Landrate Dx</t>
  </si>
  <si>
    <t>Landlight 20A</t>
  </si>
  <si>
    <t>Homepower Bulk</t>
  </si>
  <si>
    <t>Homeflex</t>
  </si>
  <si>
    <t>High</t>
  </si>
  <si>
    <t>Low</t>
  </si>
  <si>
    <t>Peak c/kWh</t>
  </si>
  <si>
    <t>Standard c/kWh</t>
  </si>
  <si>
    <t>Off-peak c/kWh</t>
  </si>
  <si>
    <t>Offset rate</t>
  </si>
  <si>
    <t>Homelight</t>
  </si>
  <si>
    <t>Energy charge c/kWh Block 1</t>
  </si>
  <si>
    <t>Energy charge c/kWh Block 2</t>
  </si>
  <si>
    <t>Single rate</t>
  </si>
  <si>
    <t>20A</t>
  </si>
  <si>
    <t>60A</t>
  </si>
  <si>
    <t>Public Lighting Non Munic</t>
  </si>
  <si>
    <t>Choose the current tariff below</t>
  </si>
  <si>
    <t>Average kWh</t>
  </si>
  <si>
    <r>
      <t xml:space="preserve">Non-local-authority small power user tariffs </t>
    </r>
    <r>
      <rPr>
        <b/>
        <sz val="12"/>
        <color rgb="FFFF0000"/>
        <rFont val="Arial Narrow"/>
        <family val="2"/>
      </rPr>
      <t>revised</t>
    </r>
  </si>
  <si>
    <r>
      <t xml:space="preserve">Local authority tariffs </t>
    </r>
    <r>
      <rPr>
        <b/>
        <sz val="12"/>
        <color rgb="FFFF0000"/>
        <rFont val="Arial Narrow"/>
        <family val="2"/>
      </rPr>
      <t>current</t>
    </r>
  </si>
  <si>
    <t>Notified maximum demand</t>
  </si>
  <si>
    <t>Cell C2, select the current tariff category</t>
  </si>
  <si>
    <t>Current tariff worksheet</t>
  </si>
  <si>
    <t>Revised tariff worksheet</t>
  </si>
  <si>
    <t>All rates are in 2019/20 R value and exclude VAT</t>
  </si>
  <si>
    <t xml:space="preserve">The purpose of this model is to compare actual consumption on the existing non local-authority current and revised tariffs </t>
  </si>
  <si>
    <t>Bulk</t>
  </si>
  <si>
    <t>Current tariff Group</t>
  </si>
  <si>
    <t>Revised tariff Group</t>
  </si>
  <si>
    <t>R/POD/day orR/kVA</t>
  </si>
  <si>
    <t xml:space="preserve">Homepower Bulk </t>
  </si>
  <si>
    <t>Row 10, enter the monthly consumption</t>
  </si>
  <si>
    <t>R/POD/day or R/kVA</t>
  </si>
  <si>
    <t>Homepower Bulk NMD kVA</t>
  </si>
  <si>
    <t>Landlight 60A</t>
  </si>
  <si>
    <t>Compares the existing tariff with the revised tariff at different consumption levels</t>
  </si>
  <si>
    <t>Compares the existing tariff with the revised tariff in 2019/20 rand value</t>
  </si>
  <si>
    <t>Homelight 60A</t>
  </si>
  <si>
    <t>Homelight 20A</t>
  </si>
  <si>
    <t>NMD on the bill</t>
  </si>
  <si>
    <t>List</t>
  </si>
  <si>
    <t>Cell C3, select the supply size</t>
  </si>
  <si>
    <t>Cell C4, select the current sub-tariff based on size</t>
  </si>
  <si>
    <t>For Homepower Bulk only insert NMD in Cell C5</t>
  </si>
  <si>
    <t>Revised tariff worksheet - gives the results on the proposed tariff</t>
  </si>
  <si>
    <t>R Difference (annual)</t>
  </si>
  <si>
    <t>Please insert only for Homepower Bulk</t>
  </si>
  <si>
    <t>Current sub-tariff based on NMD</t>
  </si>
  <si>
    <t>Revised sub-tariff based on NMD</t>
  </si>
  <si>
    <t>Please select tariff and NMD</t>
  </si>
  <si>
    <t>Please select tariff</t>
  </si>
  <si>
    <t>Please select the correct NMD*</t>
  </si>
  <si>
    <t>*Note for Businessrate 4, 25 kVA and 16 kVA options are possible, but for the purposes of this model select 16 kVA.</t>
  </si>
  <si>
    <t>Total IBT energy (Homepower &amp; Homelight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</si>
</sst>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R&quot;\ #,##0;[Red]&quot;R&quot;\ \-#,##0"/>
    <numFmt numFmtId="165" formatCode="_ &quot;R&quot;\ * #,##0_ ;_ &quot;R&quot;\ * \-#,##0_ ;_ &quot;R&quot;\ * &quot;-&quot;_ ;_ @_ "/>
    <numFmt numFmtId="166" formatCode="_ &quot;R&quot;\ * #,##0.00_ ;_ &quot;R&quot;\ * \-#,##0.00_ ;_ &quot;R&quot;\ * &quot;-&quot;??_ ;_ @_ "/>
    <numFmt numFmtId="167" formatCode="&quot;R &quot;#,##0"/>
    <numFmt numFmtId="168" formatCode="_ &quot;R&quot;\ * #,##0_ ;_ &quot;R&quot;\ * \-#,##0_ ;_ &quot;R&quot;\ * &quot;-&quot;??_ ;_ @_ "/>
    <numFmt numFmtId="169" formatCode="0.00&quot;c&quot;"/>
    <numFmt numFmtId="170" formatCode="#,##0&quot;kWh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800080"/>
      <name val="Arial"/>
      <family val="2"/>
    </font>
    <font>
      <b/>
      <sz val="9"/>
      <color indexed="81"/>
      <name val="Tahoma"/>
      <family val="2"/>
    </font>
    <font>
      <b/>
      <sz val="9"/>
      <color indexed="9"/>
      <name val="Verdana"/>
      <family val="2"/>
    </font>
    <font>
      <b/>
      <sz val="9"/>
      <color rgb="FF7030A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4"/>
      <name val="Arial Narrow"/>
      <family val="2"/>
    </font>
    <font>
      <b/>
      <sz val="12"/>
      <color theme="4" tint="-0.249977111117893"/>
      <name val="Arial Narrow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0"/>
      <color theme="0"/>
      <name val="Arial Narrow"/>
      <family val="2"/>
    </font>
    <font>
      <b/>
      <sz val="10"/>
      <color theme="0" tint="-0.249977111117893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 Narrow"/>
      <family val="2"/>
    </font>
    <font>
      <i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7030A0"/>
      <name val="Arial"/>
      <family val="2"/>
    </font>
    <font>
      <b/>
      <sz val="9"/>
      <color rgb="FFFFFF00"/>
      <name val="Verdana"/>
      <family val="2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C00000"/>
      <name val="Courier New"/>
      <family val="3"/>
    </font>
    <font>
      <b/>
      <sz val="10"/>
      <color rgb="FF80008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theme="4" tint="-0.499984740745262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/>
      <top style="thin">
        <color indexed="64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hair">
        <color theme="4" tint="-0.249977111117893"/>
      </left>
      <right/>
      <top style="hair">
        <color theme="4" tint="-0.249977111117893"/>
      </top>
      <bottom/>
      <diagonal/>
    </border>
    <border>
      <left/>
      <right style="hair">
        <color theme="4" tint="-0.249977111117893"/>
      </right>
      <top style="hair">
        <color theme="4" tint="-0.249977111117893"/>
      </top>
      <bottom/>
      <diagonal/>
    </border>
    <border>
      <left style="hair">
        <color theme="4" tint="-0.249977111117893"/>
      </left>
      <right/>
      <top/>
      <bottom/>
      <diagonal/>
    </border>
    <border>
      <left/>
      <right style="hair">
        <color theme="4" tint="-0.249977111117893"/>
      </right>
      <top/>
      <bottom/>
      <diagonal/>
    </border>
    <border>
      <left style="hair">
        <color theme="4" tint="-0.249977111117893"/>
      </left>
      <right/>
      <top/>
      <bottom style="hair">
        <color theme="4" tint="-0.249977111117893"/>
      </bottom>
      <diagonal/>
    </border>
    <border>
      <left/>
      <right style="hair">
        <color theme="4" tint="-0.249977111117893"/>
      </right>
      <top/>
      <bottom style="hair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4" tint="-0.249977111117893"/>
      </top>
      <bottom/>
      <diagonal/>
    </border>
    <border>
      <left/>
      <right style="medium">
        <color theme="1"/>
      </right>
      <top style="medium">
        <color theme="4" tint="-0.249977111117893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/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2" fillId="10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0" borderId="0"/>
  </cellStyleXfs>
  <cellXfs count="338">
    <xf numFmtId="0" fontId="0" fillId="0" borderId="0" xfId="0"/>
    <xf numFmtId="0" fontId="3" fillId="0" borderId="0" xfId="3" applyFont="1" applyProtection="1"/>
    <xf numFmtId="0" fontId="2" fillId="0" borderId="0" xfId="3" applyProtection="1"/>
    <xf numFmtId="2" fontId="5" fillId="3" borderId="6" xfId="3" applyNumberFormat="1" applyFont="1" applyFill="1" applyBorder="1" applyAlignment="1" applyProtection="1">
      <alignment horizontal="right"/>
    </xf>
    <xf numFmtId="0" fontId="2" fillId="6" borderId="5" xfId="3" quotePrefix="1" applyFill="1" applyBorder="1" applyProtection="1"/>
    <xf numFmtId="0" fontId="4" fillId="6" borderId="8" xfId="3" quotePrefix="1" applyFont="1" applyFill="1" applyBorder="1" applyProtection="1"/>
    <xf numFmtId="0" fontId="0" fillId="3" borderId="7" xfId="0" applyFill="1" applyBorder="1"/>
    <xf numFmtId="0" fontId="0" fillId="8" borderId="0" xfId="0" applyFill="1"/>
    <xf numFmtId="165" fontId="2" fillId="3" borderId="0" xfId="4" applyNumberFormat="1" applyFont="1" applyFill="1" applyBorder="1" applyProtection="1"/>
    <xf numFmtId="0" fontId="14" fillId="0" borderId="0" xfId="0" applyFont="1"/>
    <xf numFmtId="0" fontId="0" fillId="8" borderId="0" xfId="0" applyFill="1" applyBorder="1"/>
    <xf numFmtId="0" fontId="16" fillId="8" borderId="0" xfId="0" applyFont="1" applyFill="1" applyBorder="1" applyAlignment="1">
      <alignment horizontal="center"/>
    </xf>
    <xf numFmtId="0" fontId="0" fillId="8" borderId="3" xfId="0" applyFill="1" applyBorder="1"/>
    <xf numFmtId="0" fontId="16" fillId="8" borderId="3" xfId="0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0" fillId="8" borderId="11" xfId="0" applyFill="1" applyBorder="1"/>
    <xf numFmtId="0" fontId="16" fillId="8" borderId="11" xfId="0" applyFont="1" applyFill="1" applyBorder="1" applyAlignment="1">
      <alignment horizontal="center"/>
    </xf>
    <xf numFmtId="0" fontId="13" fillId="0" borderId="0" xfId="0" applyFont="1"/>
    <xf numFmtId="0" fontId="17" fillId="0" borderId="0" xfId="6"/>
    <xf numFmtId="0" fontId="1" fillId="0" borderId="0" xfId="0" applyFont="1"/>
    <xf numFmtId="0" fontId="0" fillId="0" borderId="0" xfId="0" applyAlignment="1">
      <alignment vertical="center" wrapText="1"/>
    </xf>
    <xf numFmtId="0" fontId="18" fillId="0" borderId="1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16" xfId="0" applyBorder="1"/>
    <xf numFmtId="0" fontId="19" fillId="0" borderId="17" xfId="0" applyFont="1" applyFill="1" applyBorder="1" applyAlignment="1">
      <alignment horizontal="center"/>
    </xf>
    <xf numFmtId="0" fontId="20" fillId="0" borderId="18" xfId="7" applyFont="1" applyFill="1" applyBorder="1" applyAlignment="1">
      <alignment horizontal="center" vertical="center" wrapText="1"/>
    </xf>
    <xf numFmtId="0" fontId="20" fillId="0" borderId="20" xfId="7" applyFont="1" applyFill="1" applyBorder="1" applyAlignment="1">
      <alignment horizontal="center" vertical="center" wrapText="1"/>
    </xf>
    <xf numFmtId="0" fontId="20" fillId="0" borderId="0" xfId="7" applyFont="1" applyFill="1" applyBorder="1" applyAlignment="1">
      <alignment horizontal="center" vertical="center" wrapText="1"/>
    </xf>
    <xf numFmtId="0" fontId="20" fillId="0" borderId="21" xfId="7" applyFont="1" applyFill="1" applyBorder="1" applyAlignment="1">
      <alignment horizontal="right" vertical="center"/>
    </xf>
    <xf numFmtId="0" fontId="0" fillId="0" borderId="0" xfId="0" applyBorder="1"/>
    <xf numFmtId="0" fontId="20" fillId="0" borderId="24" xfId="7" applyFont="1" applyFill="1" applyBorder="1" applyAlignment="1">
      <alignment horizontal="right" vertical="center"/>
    </xf>
    <xf numFmtId="0" fontId="0" fillId="0" borderId="15" xfId="0" applyBorder="1"/>
    <xf numFmtId="0" fontId="19" fillId="0" borderId="17" xfId="0" applyFont="1" applyFill="1" applyBorder="1"/>
    <xf numFmtId="0" fontId="20" fillId="0" borderId="27" xfId="7" applyFont="1" applyFill="1" applyBorder="1" applyAlignment="1">
      <alignment horizontal="center" vertical="center" wrapText="1"/>
    </xf>
    <xf numFmtId="0" fontId="21" fillId="0" borderId="28" xfId="0" applyFont="1" applyFill="1" applyBorder="1"/>
    <xf numFmtId="0" fontId="0" fillId="0" borderId="29" xfId="0" applyBorder="1"/>
    <xf numFmtId="0" fontId="0" fillId="0" borderId="30" xfId="0" applyBorder="1"/>
    <xf numFmtId="4" fontId="21" fillId="0" borderId="22" xfId="0" applyNumberFormat="1" applyFont="1" applyFill="1" applyBorder="1"/>
    <xf numFmtId="0" fontId="22" fillId="0" borderId="0" xfId="0" applyFont="1"/>
    <xf numFmtId="0" fontId="0" fillId="0" borderId="0" xfId="0" applyProtection="1">
      <protection locked="0"/>
    </xf>
    <xf numFmtId="168" fontId="0" fillId="0" borderId="0" xfId="1" applyNumberFormat="1" applyFont="1" applyProtection="1">
      <protection locked="0"/>
    </xf>
    <xf numFmtId="0" fontId="0" fillId="0" borderId="0" xfId="0" applyProtection="1"/>
    <xf numFmtId="0" fontId="0" fillId="8" borderId="0" xfId="0" applyFill="1" applyProtection="1"/>
    <xf numFmtId="168" fontId="0" fillId="0" borderId="0" xfId="1" applyNumberFormat="1" applyFont="1" applyProtection="1"/>
    <xf numFmtId="0" fontId="7" fillId="7" borderId="4" xfId="0" applyFont="1" applyFill="1" applyBorder="1" applyAlignment="1" applyProtection="1">
      <alignment horizontal="right"/>
      <protection locked="0"/>
    </xf>
    <xf numFmtId="2" fontId="0" fillId="0" borderId="0" xfId="0" applyNumberFormat="1" applyProtection="1"/>
    <xf numFmtId="0" fontId="0" fillId="3" borderId="7" xfId="0" applyFill="1" applyBorder="1" applyProtection="1">
      <protection locked="0"/>
    </xf>
    <xf numFmtId="0" fontId="4" fillId="0" borderId="0" xfId="0" applyFont="1" applyBorder="1"/>
    <xf numFmtId="0" fontId="23" fillId="0" borderId="0" xfId="0" applyFont="1" applyFill="1" applyBorder="1"/>
    <xf numFmtId="0" fontId="19" fillId="0" borderId="37" xfId="0" applyFont="1" applyFill="1" applyBorder="1" applyAlignment="1">
      <alignment horizontal="center"/>
    </xf>
    <xf numFmtId="0" fontId="20" fillId="0" borderId="38" xfId="7" applyFont="1" applyFill="1" applyBorder="1" applyAlignment="1">
      <alignment horizontal="center" vertical="center" wrapText="1"/>
    </xf>
    <xf numFmtId="0" fontId="20" fillId="0" borderId="39" xfId="7" applyFont="1" applyFill="1" applyBorder="1" applyAlignment="1">
      <alignment horizontal="center" vertical="center" wrapText="1"/>
    </xf>
    <xf numFmtId="0" fontId="20" fillId="0" borderId="40" xfId="7" applyFont="1" applyFill="1" applyBorder="1" applyAlignment="1">
      <alignment horizontal="right" vertical="center"/>
    </xf>
    <xf numFmtId="0" fontId="20" fillId="0" borderId="28" xfId="7" applyFont="1" applyFill="1" applyBorder="1" applyAlignment="1">
      <alignment horizontal="right" vertical="center"/>
    </xf>
    <xf numFmtId="0" fontId="4" fillId="0" borderId="19" xfId="0" applyFont="1" applyBorder="1"/>
    <xf numFmtId="0" fontId="18" fillId="0" borderId="0" xfId="0" quotePrefix="1" applyFont="1" applyBorder="1" applyAlignment="1">
      <alignment horizontal="right" indent="1"/>
    </xf>
    <xf numFmtId="0" fontId="2" fillId="3" borderId="4" xfId="3" applyFill="1" applyBorder="1" applyProtection="1"/>
    <xf numFmtId="4" fontId="21" fillId="0" borderId="23" xfId="0" applyNumberFormat="1" applyFont="1" applyFill="1" applyBorder="1"/>
    <xf numFmtId="4" fontId="21" fillId="0" borderId="25" xfId="0" applyNumberFormat="1" applyFont="1" applyFill="1" applyBorder="1"/>
    <xf numFmtId="4" fontId="21" fillId="0" borderId="26" xfId="0" applyNumberFormat="1" applyFont="1" applyFill="1" applyBorder="1"/>
    <xf numFmtId="2" fontId="5" fillId="3" borderId="41" xfId="3" applyNumberFormat="1" applyFont="1" applyFill="1" applyBorder="1" applyAlignment="1" applyProtection="1">
      <alignment horizontal="right"/>
    </xf>
    <xf numFmtId="0" fontId="4" fillId="4" borderId="43" xfId="3" applyFont="1" applyFill="1" applyBorder="1" applyAlignment="1" applyProtection="1">
      <alignment horizontal="center"/>
    </xf>
    <xf numFmtId="0" fontId="4" fillId="4" borderId="44" xfId="3" applyFont="1" applyFill="1" applyBorder="1" applyAlignment="1" applyProtection="1">
      <alignment horizontal="center"/>
    </xf>
    <xf numFmtId="0" fontId="4" fillId="4" borderId="45" xfId="3" applyFont="1" applyFill="1" applyBorder="1" applyAlignment="1" applyProtection="1">
      <alignment horizontal="center"/>
    </xf>
    <xf numFmtId="2" fontId="5" fillId="3" borderId="47" xfId="3" applyNumberFormat="1" applyFont="1" applyFill="1" applyBorder="1" applyAlignment="1" applyProtection="1">
      <alignment horizontal="right"/>
    </xf>
    <xf numFmtId="2" fontId="5" fillId="3" borderId="49" xfId="3" applyNumberFormat="1" applyFont="1" applyFill="1" applyBorder="1" applyAlignment="1" applyProtection="1">
      <alignment horizontal="right"/>
    </xf>
    <xf numFmtId="2" fontId="5" fillId="3" borderId="50" xfId="3" applyNumberFormat="1" applyFont="1" applyFill="1" applyBorder="1" applyAlignment="1" applyProtection="1">
      <alignment horizontal="right"/>
    </xf>
    <xf numFmtId="165" fontId="2" fillId="5" borderId="41" xfId="4" applyNumberFormat="1" applyFont="1" applyFill="1" applyBorder="1" applyProtection="1"/>
    <xf numFmtId="165" fontId="2" fillId="5" borderId="44" xfId="4" applyNumberFormat="1" applyFont="1" applyFill="1" applyBorder="1" applyProtection="1"/>
    <xf numFmtId="165" fontId="2" fillId="5" borderId="45" xfId="4" applyNumberFormat="1" applyFont="1" applyFill="1" applyBorder="1" applyProtection="1"/>
    <xf numFmtId="165" fontId="2" fillId="5" borderId="47" xfId="4" applyNumberFormat="1" applyFont="1" applyFill="1" applyBorder="1" applyProtection="1"/>
    <xf numFmtId="165" fontId="2" fillId="5" borderId="55" xfId="4" applyNumberFormat="1" applyFont="1" applyFill="1" applyBorder="1" applyProtection="1"/>
    <xf numFmtId="165" fontId="2" fillId="5" borderId="56" xfId="4" applyNumberFormat="1" applyFont="1" applyFill="1" applyBorder="1" applyProtection="1"/>
    <xf numFmtId="2" fontId="11" fillId="2" borderId="58" xfId="3" quotePrefix="1" applyNumberFormat="1" applyFont="1" applyFill="1" applyBorder="1" applyAlignment="1" applyProtection="1">
      <alignment horizontal="right"/>
    </xf>
    <xf numFmtId="2" fontId="11" fillId="2" borderId="59" xfId="3" quotePrefix="1" applyNumberFormat="1" applyFont="1" applyFill="1" applyBorder="1" applyAlignment="1" applyProtection="1">
      <alignment horizontal="right"/>
    </xf>
    <xf numFmtId="165" fontId="2" fillId="5" borderId="62" xfId="4" applyNumberFormat="1" applyFont="1" applyFill="1" applyBorder="1" applyProtection="1"/>
    <xf numFmtId="165" fontId="2" fillId="5" borderId="63" xfId="4" applyNumberFormat="1" applyFont="1" applyFill="1" applyBorder="1" applyProtection="1"/>
    <xf numFmtId="0" fontId="2" fillId="6" borderId="61" xfId="3" applyFont="1" applyFill="1" applyBorder="1" applyAlignment="1" applyProtection="1">
      <alignment horizontal="left" vertical="center"/>
    </xf>
    <xf numFmtId="0" fontId="4" fillId="5" borderId="52" xfId="3" applyFont="1" applyFill="1" applyBorder="1" applyAlignment="1" applyProtection="1">
      <alignment horizontal="center"/>
    </xf>
    <xf numFmtId="165" fontId="2" fillId="5" borderId="64" xfId="4" applyNumberFormat="1" applyFont="1" applyFill="1" applyBorder="1" applyProtection="1"/>
    <xf numFmtId="165" fontId="2" fillId="5" borderId="65" xfId="4" applyNumberFormat="1" applyFont="1" applyFill="1" applyBorder="1" applyProtection="1"/>
    <xf numFmtId="165" fontId="2" fillId="5" borderId="66" xfId="4" applyNumberFormat="1" applyFont="1" applyFill="1" applyBorder="1" applyProtection="1"/>
    <xf numFmtId="165" fontId="2" fillId="5" borderId="67" xfId="4" applyNumberFormat="1" applyFont="1" applyFill="1" applyBorder="1" applyProtection="1"/>
    <xf numFmtId="2" fontId="11" fillId="2" borderId="68" xfId="3" quotePrefix="1" applyNumberFormat="1" applyFont="1" applyFill="1" applyBorder="1" applyAlignment="1" applyProtection="1">
      <alignment horizontal="right"/>
    </xf>
    <xf numFmtId="0" fontId="2" fillId="6" borderId="43" xfId="3" applyFont="1" applyFill="1" applyBorder="1" applyProtection="1"/>
    <xf numFmtId="0" fontId="2" fillId="6" borderId="45" xfId="3" applyFont="1" applyFill="1" applyBorder="1" applyProtection="1"/>
    <xf numFmtId="0" fontId="2" fillId="6" borderId="46" xfId="3" applyFont="1" applyFill="1" applyBorder="1" applyProtection="1"/>
    <xf numFmtId="0" fontId="2" fillId="6" borderId="69" xfId="3" applyFont="1" applyFill="1" applyBorder="1" applyProtection="1"/>
    <xf numFmtId="0" fontId="2" fillId="6" borderId="70" xfId="3" applyFont="1" applyFill="1" applyBorder="1" applyProtection="1"/>
    <xf numFmtId="0" fontId="2" fillId="6" borderId="71" xfId="3" applyFont="1" applyFill="1" applyBorder="1" applyProtection="1"/>
    <xf numFmtId="0" fontId="2" fillId="6" borderId="72" xfId="3" applyFont="1" applyFill="1" applyBorder="1" applyProtection="1"/>
    <xf numFmtId="0" fontId="2" fillId="6" borderId="73" xfId="3" applyFont="1" applyFill="1" applyBorder="1" applyAlignment="1" applyProtection="1">
      <alignment horizontal="left" vertical="center"/>
    </xf>
    <xf numFmtId="0" fontId="2" fillId="6" borderId="63" xfId="3" applyFont="1" applyFill="1" applyBorder="1" applyProtection="1"/>
    <xf numFmtId="0" fontId="2" fillId="6" borderId="54" xfId="3" applyFont="1" applyFill="1" applyBorder="1" applyAlignment="1" applyProtection="1">
      <alignment horizontal="left" vertical="center"/>
    </xf>
    <xf numFmtId="0" fontId="2" fillId="6" borderId="74" xfId="3" applyFont="1" applyFill="1" applyBorder="1" applyProtection="1"/>
    <xf numFmtId="165" fontId="4" fillId="5" borderId="41" xfId="4" applyNumberFormat="1" applyFont="1" applyFill="1" applyBorder="1" applyProtection="1"/>
    <xf numFmtId="165" fontId="4" fillId="5" borderId="49" xfId="4" applyNumberFormat="1" applyFont="1" applyFill="1" applyBorder="1" applyProtection="1"/>
    <xf numFmtId="165" fontId="4" fillId="5" borderId="45" xfId="4" applyNumberFormat="1" applyFont="1" applyFill="1" applyBorder="1" applyProtection="1"/>
    <xf numFmtId="165" fontId="4" fillId="5" borderId="47" xfId="4" applyNumberFormat="1" applyFont="1" applyFill="1" applyBorder="1" applyProtection="1"/>
    <xf numFmtId="165" fontId="4" fillId="5" borderId="50" xfId="4" applyNumberFormat="1" applyFont="1" applyFill="1" applyBorder="1" applyProtection="1"/>
    <xf numFmtId="165" fontId="4" fillId="5" borderId="62" xfId="4" applyNumberFormat="1" applyFont="1" applyFill="1" applyBorder="1" applyProtection="1"/>
    <xf numFmtId="165" fontId="4" fillId="5" borderId="63" xfId="4" applyNumberFormat="1" applyFont="1" applyFill="1" applyBorder="1" applyProtection="1"/>
    <xf numFmtId="0" fontId="0" fillId="0" borderId="0" xfId="0" applyAlignment="1" applyProtection="1">
      <alignment horizontal="left" indent="6"/>
      <protection locked="0"/>
    </xf>
    <xf numFmtId="0" fontId="0" fillId="0" borderId="76" xfId="0" applyBorder="1" applyProtection="1"/>
    <xf numFmtId="168" fontId="0" fillId="0" borderId="76" xfId="1" applyNumberFormat="1" applyFont="1" applyBorder="1" applyProtection="1"/>
    <xf numFmtId="0" fontId="4" fillId="4" borderId="77" xfId="3" applyFont="1" applyFill="1" applyBorder="1" applyAlignment="1" applyProtection="1">
      <alignment horizontal="center"/>
    </xf>
    <xf numFmtId="0" fontId="4" fillId="4" borderId="78" xfId="3" applyFont="1" applyFill="1" applyBorder="1" applyAlignment="1" applyProtection="1">
      <alignment horizontal="center"/>
    </xf>
    <xf numFmtId="165" fontId="4" fillId="5" borderId="56" xfId="4" applyNumberFormat="1" applyFont="1" applyFill="1" applyBorder="1" applyProtection="1"/>
    <xf numFmtId="2" fontId="26" fillId="2" borderId="58" xfId="3" quotePrefix="1" applyNumberFormat="1" applyFont="1" applyFill="1" applyBorder="1" applyAlignment="1" applyProtection="1">
      <alignment horizontal="right"/>
    </xf>
    <xf numFmtId="2" fontId="26" fillId="2" borderId="59" xfId="3" quotePrefix="1" applyNumberFormat="1" applyFont="1" applyFill="1" applyBorder="1" applyAlignment="1" applyProtection="1">
      <alignment horizontal="right"/>
    </xf>
    <xf numFmtId="0" fontId="4" fillId="4" borderId="79" xfId="3" applyFont="1" applyFill="1" applyBorder="1" applyAlignment="1" applyProtection="1">
      <alignment horizontal="center"/>
    </xf>
    <xf numFmtId="2" fontId="5" fillId="3" borderId="80" xfId="3" applyNumberFormat="1" applyFont="1" applyFill="1" applyBorder="1" applyAlignment="1" applyProtection="1">
      <alignment horizontal="right"/>
    </xf>
    <xf numFmtId="2" fontId="5" fillId="3" borderId="81" xfId="3" applyNumberFormat="1" applyFont="1" applyFill="1" applyBorder="1" applyAlignment="1" applyProtection="1">
      <alignment horizontal="right"/>
    </xf>
    <xf numFmtId="2" fontId="5" fillId="3" borderId="74" xfId="3" applyNumberFormat="1" applyFont="1" applyFill="1" applyBorder="1" applyAlignment="1" applyProtection="1">
      <alignment horizontal="right"/>
    </xf>
    <xf numFmtId="0" fontId="4" fillId="5" borderId="2" xfId="3" applyFont="1" applyFill="1" applyBorder="1" applyAlignment="1" applyProtection="1">
      <alignment horizontal="center"/>
    </xf>
    <xf numFmtId="3" fontId="4" fillId="5" borderId="2" xfId="4" applyNumberFormat="1" applyFont="1" applyFill="1" applyBorder="1" applyProtection="1">
      <protection locked="0"/>
    </xf>
    <xf numFmtId="0" fontId="2" fillId="3" borderId="82" xfId="3" applyFill="1" applyBorder="1" applyProtection="1"/>
    <xf numFmtId="0" fontId="20" fillId="0" borderId="41" xfId="7" applyFont="1" applyFill="1" applyBorder="1" applyAlignment="1">
      <alignment horizontal="center" vertical="center" wrapText="1"/>
    </xf>
    <xf numFmtId="4" fontId="21" fillId="0" borderId="41" xfId="0" applyNumberFormat="1" applyFont="1" applyFill="1" applyBorder="1"/>
    <xf numFmtId="0" fontId="23" fillId="5" borderId="41" xfId="0" applyFont="1" applyFill="1" applyBorder="1"/>
    <xf numFmtId="0" fontId="19" fillId="0" borderId="43" xfId="0" applyFont="1" applyFill="1" applyBorder="1" applyAlignment="1">
      <alignment horizontal="center"/>
    </xf>
    <xf numFmtId="0" fontId="20" fillId="0" borderId="44" xfId="7" applyFont="1" applyFill="1" applyBorder="1" applyAlignment="1">
      <alignment horizontal="center" vertical="center" wrapText="1"/>
    </xf>
    <xf numFmtId="0" fontId="20" fillId="0" borderId="45" xfId="7" applyFont="1" applyFill="1" applyBorder="1" applyAlignment="1">
      <alignment horizontal="center" vertical="center" wrapText="1"/>
    </xf>
    <xf numFmtId="0" fontId="20" fillId="0" borderId="46" xfId="7" applyFont="1" applyFill="1" applyBorder="1" applyAlignment="1">
      <alignment horizontal="right" vertical="center"/>
    </xf>
    <xf numFmtId="4" fontId="21" fillId="0" borderId="47" xfId="0" applyNumberFormat="1" applyFont="1" applyFill="1" applyBorder="1"/>
    <xf numFmtId="0" fontId="4" fillId="0" borderId="47" xfId="0" applyFont="1" applyBorder="1"/>
    <xf numFmtId="0" fontId="20" fillId="0" borderId="48" xfId="7" applyFont="1" applyFill="1" applyBorder="1" applyAlignment="1">
      <alignment horizontal="right" vertical="center"/>
    </xf>
    <xf numFmtId="4" fontId="21" fillId="0" borderId="49" xfId="0" applyNumberFormat="1" applyFont="1" applyFill="1" applyBorder="1"/>
    <xf numFmtId="0" fontId="23" fillId="5" borderId="49" xfId="0" applyFont="1" applyFill="1" applyBorder="1"/>
    <xf numFmtId="0" fontId="4" fillId="0" borderId="50" xfId="0" applyFont="1" applyBorder="1"/>
    <xf numFmtId="169" fontId="23" fillId="0" borderId="41" xfId="0" applyNumberFormat="1" applyFont="1" applyFill="1" applyBorder="1" applyAlignment="1">
      <alignment horizontal="right"/>
    </xf>
    <xf numFmtId="4" fontId="21" fillId="0" borderId="50" xfId="0" applyNumberFormat="1" applyFont="1" applyFill="1" applyBorder="1"/>
    <xf numFmtId="0" fontId="4" fillId="0" borderId="43" xfId="0" applyFont="1" applyBorder="1"/>
    <xf numFmtId="0" fontId="18" fillId="13" borderId="48" xfId="0" quotePrefix="1" applyFont="1" applyFill="1" applyBorder="1" applyAlignment="1">
      <alignment horizontal="right" indent="1"/>
    </xf>
    <xf numFmtId="4" fontId="23" fillId="13" borderId="49" xfId="0" applyNumberFormat="1" applyFont="1" applyFill="1" applyBorder="1"/>
    <xf numFmtId="0" fontId="25" fillId="2" borderId="41" xfId="0" applyFont="1" applyFill="1" applyBorder="1"/>
    <xf numFmtId="0" fontId="19" fillId="0" borderId="43" xfId="0" quotePrefix="1" applyFont="1" applyFill="1" applyBorder="1"/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5" fillId="2" borderId="49" xfId="0" applyFont="1" applyFill="1" applyBorder="1"/>
    <xf numFmtId="0" fontId="19" fillId="0" borderId="43" xfId="0" applyFont="1" applyFill="1" applyBorder="1" applyAlignment="1">
      <alignment wrapText="1"/>
    </xf>
    <xf numFmtId="0" fontId="4" fillId="5" borderId="47" xfId="0" applyFont="1" applyFill="1" applyBorder="1"/>
    <xf numFmtId="0" fontId="19" fillId="0" borderId="46" xfId="0" applyFont="1" applyFill="1" applyBorder="1"/>
    <xf numFmtId="0" fontId="20" fillId="0" borderId="47" xfId="7" applyFont="1" applyFill="1" applyBorder="1" applyAlignment="1">
      <alignment horizontal="center" vertical="center" wrapText="1"/>
    </xf>
    <xf numFmtId="0" fontId="23" fillId="0" borderId="48" xfId="0" applyFont="1" applyFill="1" applyBorder="1"/>
    <xf numFmtId="0" fontId="18" fillId="0" borderId="83" xfId="0" applyFont="1" applyFill="1" applyBorder="1" applyAlignment="1">
      <alignment horizontal="center"/>
    </xf>
    <xf numFmtId="0" fontId="18" fillId="0" borderId="69" xfId="0" applyFont="1" applyFill="1" applyBorder="1" applyAlignment="1">
      <alignment horizontal="center"/>
    </xf>
    <xf numFmtId="0" fontId="19" fillId="0" borderId="84" xfId="0" applyFont="1" applyFill="1" applyBorder="1" applyAlignment="1">
      <alignment horizontal="center"/>
    </xf>
    <xf numFmtId="0" fontId="4" fillId="0" borderId="69" xfId="0" applyFont="1" applyBorder="1"/>
    <xf numFmtId="0" fontId="4" fillId="0" borderId="83" xfId="0" applyFont="1" applyBorder="1"/>
    <xf numFmtId="0" fontId="4" fillId="0" borderId="85" xfId="0" applyFont="1" applyBorder="1"/>
    <xf numFmtId="0" fontId="18" fillId="0" borderId="83" xfId="0" quotePrefix="1" applyFont="1" applyBorder="1" applyAlignment="1">
      <alignment horizontal="right" indent="1"/>
    </xf>
    <xf numFmtId="0" fontId="18" fillId="0" borderId="69" xfId="0" quotePrefix="1" applyFont="1" applyBorder="1" applyAlignment="1">
      <alignment horizontal="right" indent="1"/>
    </xf>
    <xf numFmtId="0" fontId="4" fillId="0" borderId="86" xfId="0" applyFont="1" applyBorder="1"/>
    <xf numFmtId="0" fontId="4" fillId="0" borderId="87" xfId="0" applyFont="1" applyBorder="1"/>
    <xf numFmtId="169" fontId="23" fillId="0" borderId="47" xfId="0" applyNumberFormat="1" applyFont="1" applyFill="1" applyBorder="1" applyAlignment="1">
      <alignment horizontal="right"/>
    </xf>
    <xf numFmtId="169" fontId="23" fillId="0" borderId="49" xfId="0" applyNumberFormat="1" applyFont="1" applyFill="1" applyBorder="1" applyAlignment="1">
      <alignment horizontal="right"/>
    </xf>
    <xf numFmtId="169" fontId="23" fillId="0" borderId="50" xfId="0" applyNumberFormat="1" applyFont="1" applyFill="1" applyBorder="1" applyAlignment="1">
      <alignment horizontal="right"/>
    </xf>
    <xf numFmtId="0" fontId="20" fillId="0" borderId="57" xfId="7" applyFont="1" applyFill="1" applyBorder="1" applyAlignment="1">
      <alignment horizontal="right" vertical="center"/>
    </xf>
    <xf numFmtId="0" fontId="0" fillId="3" borderId="1" xfId="0" applyFill="1" applyBorder="1"/>
    <xf numFmtId="0" fontId="0" fillId="0" borderId="10" xfId="0" applyBorder="1" applyAlignment="1">
      <alignment horizontal="left" indent="4"/>
    </xf>
    <xf numFmtId="0" fontId="0" fillId="0" borderId="42" xfId="0" applyBorder="1" applyAlignment="1">
      <alignment horizontal="left" indent="2"/>
    </xf>
    <xf numFmtId="0" fontId="28" fillId="12" borderId="0" xfId="6" applyFont="1" applyFill="1"/>
    <xf numFmtId="0" fontId="29" fillId="0" borderId="0" xfId="0" applyFont="1"/>
    <xf numFmtId="0" fontId="28" fillId="8" borderId="0" xfId="6" applyFont="1" applyFill="1"/>
    <xf numFmtId="0" fontId="28" fillId="11" borderId="0" xfId="6" applyFont="1" applyFill="1"/>
    <xf numFmtId="2" fontId="5" fillId="3" borderId="65" xfId="3" applyNumberFormat="1" applyFont="1" applyFill="1" applyBorder="1" applyAlignment="1" applyProtection="1">
      <alignment horizontal="right"/>
    </xf>
    <xf numFmtId="2" fontId="5" fillId="3" borderId="90" xfId="3" applyNumberFormat="1" applyFont="1" applyFill="1" applyBorder="1" applyAlignment="1" applyProtection="1">
      <alignment horizontal="right"/>
    </xf>
    <xf numFmtId="0" fontId="2" fillId="6" borderId="46" xfId="3" applyFont="1" applyFill="1" applyBorder="1" applyAlignment="1" applyProtection="1">
      <alignment horizontal="left" vertical="center"/>
    </xf>
    <xf numFmtId="0" fontId="2" fillId="6" borderId="48" xfId="3" applyFont="1" applyFill="1" applyBorder="1" applyAlignment="1" applyProtection="1">
      <alignment horizontal="left" vertical="center"/>
    </xf>
    <xf numFmtId="0" fontId="4" fillId="4" borderId="91" xfId="3" applyFont="1" applyFill="1" applyBorder="1" applyAlignment="1" applyProtection="1">
      <alignment horizontal="center"/>
    </xf>
    <xf numFmtId="0" fontId="4" fillId="4" borderId="92" xfId="3" applyFont="1" applyFill="1" applyBorder="1" applyAlignment="1" applyProtection="1">
      <alignment horizontal="center"/>
    </xf>
    <xf numFmtId="0" fontId="4" fillId="4" borderId="93" xfId="3" applyFont="1" applyFill="1" applyBorder="1" applyAlignment="1" applyProtection="1">
      <alignment horizontal="center"/>
    </xf>
    <xf numFmtId="2" fontId="5" fillId="3" borderId="44" xfId="3" applyNumberFormat="1" applyFont="1" applyFill="1" applyBorder="1" applyAlignment="1" applyProtection="1">
      <alignment horizontal="right"/>
    </xf>
    <xf numFmtId="2" fontId="5" fillId="3" borderId="45" xfId="3" applyNumberFormat="1" applyFont="1" applyFill="1" applyBorder="1" applyAlignment="1" applyProtection="1">
      <alignment horizontal="right"/>
    </xf>
    <xf numFmtId="2" fontId="5" fillId="3" borderId="64" xfId="3" applyNumberFormat="1" applyFont="1" applyFill="1" applyBorder="1" applyAlignment="1" applyProtection="1">
      <alignment horizontal="right"/>
    </xf>
    <xf numFmtId="0" fontId="2" fillId="6" borderId="45" xfId="3" applyFont="1" applyFill="1" applyBorder="1" applyAlignment="1" applyProtection="1">
      <alignment horizontal="left" vertical="center"/>
    </xf>
    <xf numFmtId="0" fontId="2" fillId="6" borderId="47" xfId="3" applyFont="1" applyFill="1" applyBorder="1" applyAlignment="1" applyProtection="1">
      <alignment horizontal="left" vertical="center"/>
    </xf>
    <xf numFmtId="0" fontId="2" fillId="6" borderId="50" xfId="3" applyFont="1" applyFill="1" applyBorder="1" applyAlignment="1" applyProtection="1">
      <alignment horizontal="left" vertical="center"/>
    </xf>
    <xf numFmtId="0" fontId="2" fillId="6" borderId="77" xfId="3" quotePrefix="1" applyFill="1" applyBorder="1" applyProtection="1"/>
    <xf numFmtId="0" fontId="4" fillId="6" borderId="94" xfId="3" quotePrefix="1" applyFont="1" applyFill="1" applyBorder="1" applyProtection="1"/>
    <xf numFmtId="3" fontId="4" fillId="5" borderId="89" xfId="4" applyNumberFormat="1" applyFont="1" applyFill="1" applyBorder="1" applyProtection="1">
      <protection locked="0"/>
    </xf>
    <xf numFmtId="2" fontId="23" fillId="0" borderId="58" xfId="0" applyNumberFormat="1" applyFont="1" applyFill="1" applyBorder="1" applyAlignment="1">
      <alignment horizontal="right"/>
    </xf>
    <xf numFmtId="2" fontId="23" fillId="0" borderId="59" xfId="0" applyNumberFormat="1" applyFont="1" applyFill="1" applyBorder="1" applyAlignment="1">
      <alignment horizontal="right"/>
    </xf>
    <xf numFmtId="0" fontId="20" fillId="0" borderId="95" xfId="7" applyFont="1" applyFill="1" applyBorder="1" applyAlignment="1">
      <alignment horizontal="right" vertical="center"/>
    </xf>
    <xf numFmtId="4" fontId="21" fillId="0" borderId="96" xfId="0" applyNumberFormat="1" applyFont="1" applyFill="1" applyBorder="1"/>
    <xf numFmtId="4" fontId="21" fillId="0" borderId="97" xfId="0" applyNumberFormat="1" applyFont="1" applyFill="1" applyBorder="1"/>
    <xf numFmtId="165" fontId="4" fillId="5" borderId="66" xfId="4" applyNumberFormat="1" applyFont="1" applyFill="1" applyBorder="1" applyProtection="1"/>
    <xf numFmtId="165" fontId="4" fillId="5" borderId="64" xfId="4" applyNumberFormat="1" applyFont="1" applyFill="1" applyBorder="1" applyProtection="1"/>
    <xf numFmtId="165" fontId="4" fillId="5" borderId="65" xfId="4" applyNumberFormat="1" applyFont="1" applyFill="1" applyBorder="1" applyProtection="1"/>
    <xf numFmtId="165" fontId="4" fillId="5" borderId="90" xfId="4" applyNumberFormat="1" applyFont="1" applyFill="1" applyBorder="1" applyProtection="1"/>
    <xf numFmtId="165" fontId="4" fillId="5" borderId="67" xfId="4" applyNumberFormat="1" applyFont="1" applyFill="1" applyBorder="1" applyProtection="1"/>
    <xf numFmtId="2" fontId="26" fillId="2" borderId="68" xfId="3" quotePrefix="1" applyNumberFormat="1" applyFont="1" applyFill="1" applyBorder="1" applyAlignment="1" applyProtection="1">
      <alignment horizontal="right"/>
    </xf>
    <xf numFmtId="0" fontId="2" fillId="6" borderId="98" xfId="3" quotePrefix="1" applyFill="1" applyBorder="1" applyProtection="1"/>
    <xf numFmtId="0" fontId="2" fillId="6" borderId="51" xfId="3" quotePrefix="1" applyFont="1" applyFill="1" applyBorder="1" applyProtection="1"/>
    <xf numFmtId="170" fontId="0" fillId="0" borderId="75" xfId="0" applyNumberFormat="1" applyFont="1" applyFill="1" applyBorder="1" applyAlignment="1">
      <alignment horizontal="right"/>
    </xf>
    <xf numFmtId="0" fontId="4" fillId="6" borderId="99" xfId="3" quotePrefix="1" applyFont="1" applyFill="1" applyBorder="1" applyProtection="1"/>
    <xf numFmtId="0" fontId="2" fillId="3" borderId="53" xfId="3" applyFill="1" applyBorder="1" applyProtection="1"/>
    <xf numFmtId="0" fontId="2" fillId="3" borderId="9" xfId="3" applyFill="1" applyBorder="1" applyProtection="1"/>
    <xf numFmtId="0" fontId="2" fillId="3" borderId="70" xfId="3" applyFill="1" applyBorder="1" applyProtection="1"/>
    <xf numFmtId="0" fontId="30" fillId="3" borderId="41" xfId="3" applyFont="1" applyFill="1" applyBorder="1" applyProtection="1"/>
    <xf numFmtId="0" fontId="2" fillId="6" borderId="100" xfId="3" quotePrefix="1" applyFont="1" applyFill="1" applyBorder="1" applyProtection="1"/>
    <xf numFmtId="0" fontId="30" fillId="3" borderId="46" xfId="3" applyFont="1" applyFill="1" applyBorder="1" applyProtection="1"/>
    <xf numFmtId="0" fontId="30" fillId="3" borderId="47" xfId="3" applyFont="1" applyFill="1" applyBorder="1" applyProtection="1"/>
    <xf numFmtId="1" fontId="5" fillId="3" borderId="48" xfId="3" applyNumberFormat="1" applyFont="1" applyFill="1" applyBorder="1" applyAlignment="1" applyProtection="1">
      <alignment horizontal="right"/>
    </xf>
    <xf numFmtId="1" fontId="5" fillId="3" borderId="49" xfId="3" applyNumberFormat="1" applyFont="1" applyFill="1" applyBorder="1" applyAlignment="1" applyProtection="1">
      <alignment horizontal="right"/>
    </xf>
    <xf numFmtId="1" fontId="5" fillId="3" borderId="50" xfId="3" applyNumberFormat="1" applyFont="1" applyFill="1" applyBorder="1" applyAlignment="1" applyProtection="1">
      <alignment horizontal="right"/>
    </xf>
    <xf numFmtId="1" fontId="5" fillId="15" borderId="6" xfId="3" applyNumberFormat="1" applyFont="1" applyFill="1" applyBorder="1" applyAlignment="1" applyProtection="1">
      <alignment horizontal="right"/>
    </xf>
    <xf numFmtId="1" fontId="5" fillId="15" borderId="80" xfId="3" applyNumberFormat="1" applyFont="1" applyFill="1" applyBorder="1" applyAlignment="1" applyProtection="1">
      <alignment horizontal="right"/>
    </xf>
    <xf numFmtId="0" fontId="2" fillId="3" borderId="101" xfId="3" applyFill="1" applyBorder="1" applyProtection="1"/>
    <xf numFmtId="1" fontId="5" fillId="15" borderId="102" xfId="3" applyNumberFormat="1" applyFont="1" applyFill="1" applyBorder="1" applyAlignment="1" applyProtection="1">
      <alignment horizontal="right"/>
    </xf>
    <xf numFmtId="0" fontId="10" fillId="9" borderId="103" xfId="0" applyFont="1" applyFill="1" applyBorder="1" applyAlignment="1" applyProtection="1">
      <protection locked="0"/>
    </xf>
    <xf numFmtId="0" fontId="2" fillId="6" borderId="104" xfId="3" quotePrefix="1" applyFont="1" applyFill="1" applyBorder="1" applyProtection="1"/>
    <xf numFmtId="0" fontId="2" fillId="6" borderId="105" xfId="3" quotePrefix="1" applyFont="1" applyFill="1" applyBorder="1" applyProtection="1"/>
    <xf numFmtId="0" fontId="4" fillId="6" borderId="106" xfId="3" quotePrefix="1" applyFont="1" applyFill="1" applyBorder="1" applyProtection="1"/>
    <xf numFmtId="0" fontId="19" fillId="0" borderId="17" xfId="0" quotePrefix="1" applyFont="1" applyFill="1" applyBorder="1"/>
    <xf numFmtId="0" fontId="20" fillId="0" borderId="17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07" xfId="0" applyFont="1" applyFill="1" applyBorder="1" applyAlignment="1">
      <alignment horizontal="center" vertical="center" wrapText="1"/>
    </xf>
    <xf numFmtId="4" fontId="21" fillId="0" borderId="22" xfId="0" applyNumberFormat="1" applyFont="1" applyBorder="1"/>
    <xf numFmtId="0" fontId="21" fillId="5" borderId="108" xfId="0" applyFont="1" applyFill="1" applyBorder="1"/>
    <xf numFmtId="4" fontId="21" fillId="0" borderId="25" xfId="0" applyNumberFormat="1" applyFont="1" applyBorder="1"/>
    <xf numFmtId="0" fontId="21" fillId="5" borderId="109" xfId="0" applyFont="1" applyFill="1" applyBorder="1"/>
    <xf numFmtId="0" fontId="0" fillId="14" borderId="0" xfId="0" applyFill="1" applyProtection="1"/>
    <xf numFmtId="2" fontId="5" fillId="3" borderId="102" xfId="3" applyNumberFormat="1" applyFont="1" applyFill="1" applyBorder="1" applyAlignment="1" applyProtection="1">
      <alignment horizontal="right"/>
    </xf>
    <xf numFmtId="2" fontId="5" fillId="3" borderId="111" xfId="3" applyNumberFormat="1" applyFont="1" applyFill="1" applyBorder="1" applyAlignment="1" applyProtection="1">
      <alignment horizontal="right"/>
    </xf>
    <xf numFmtId="0" fontId="4" fillId="4" borderId="112" xfId="3" applyFont="1" applyFill="1" applyBorder="1" applyAlignment="1" applyProtection="1">
      <alignment horizontal="center"/>
    </xf>
    <xf numFmtId="0" fontId="4" fillId="4" borderId="113" xfId="3" applyFont="1" applyFill="1" applyBorder="1" applyAlignment="1" applyProtection="1">
      <alignment horizontal="center"/>
    </xf>
    <xf numFmtId="0" fontId="4" fillId="6" borderId="61" xfId="3" applyFont="1" applyFill="1" applyBorder="1" applyProtection="1"/>
    <xf numFmtId="0" fontId="4" fillId="6" borderId="43" xfId="3" applyFont="1" applyFill="1" applyBorder="1" applyProtection="1"/>
    <xf numFmtId="0" fontId="4" fillId="6" borderId="46" xfId="3" applyFont="1" applyFill="1" applyBorder="1" applyProtection="1"/>
    <xf numFmtId="0" fontId="4" fillId="6" borderId="48" xfId="3" applyFont="1" applyFill="1" applyBorder="1" applyProtection="1"/>
    <xf numFmtId="0" fontId="4" fillId="6" borderId="61" xfId="3" applyFont="1" applyFill="1" applyBorder="1" applyAlignment="1" applyProtection="1">
      <alignment horizontal="left" vertical="center"/>
    </xf>
    <xf numFmtId="0" fontId="4" fillId="6" borderId="63" xfId="3" applyFont="1" applyFill="1" applyBorder="1" applyProtection="1"/>
    <xf numFmtId="0" fontId="4" fillId="6" borderId="45" xfId="3" applyFont="1" applyFill="1" applyBorder="1" applyProtection="1"/>
    <xf numFmtId="0" fontId="4" fillId="6" borderId="47" xfId="3" applyFont="1" applyFill="1" applyBorder="1" applyProtection="1"/>
    <xf numFmtId="0" fontId="4" fillId="6" borderId="50" xfId="3" applyFont="1" applyFill="1" applyBorder="1" applyProtection="1"/>
    <xf numFmtId="0" fontId="4" fillId="6" borderId="57" xfId="3" applyFont="1" applyFill="1" applyBorder="1" applyAlignment="1" applyProtection="1">
      <alignment horizontal="left" vertical="center"/>
    </xf>
    <xf numFmtId="0" fontId="4" fillId="6" borderId="59" xfId="3" applyFont="1" applyFill="1" applyBorder="1" applyProtection="1"/>
    <xf numFmtId="0" fontId="4" fillId="6" borderId="114" xfId="3" applyFont="1" applyFill="1" applyBorder="1" applyProtection="1"/>
    <xf numFmtId="0" fontId="4" fillId="6" borderId="56" xfId="3" applyFont="1" applyFill="1" applyBorder="1" applyProtection="1"/>
    <xf numFmtId="0" fontId="31" fillId="7" borderId="4" xfId="0" applyFont="1" applyFill="1" applyBorder="1" applyAlignment="1" applyProtection="1">
      <alignment horizontal="right"/>
      <protection locked="0"/>
    </xf>
    <xf numFmtId="0" fontId="17" fillId="0" borderId="0" xfId="6" applyAlignment="1">
      <alignment horizontal="left" indent="1"/>
    </xf>
    <xf numFmtId="0" fontId="32" fillId="0" borderId="0" xfId="6" applyFont="1"/>
    <xf numFmtId="0" fontId="34" fillId="0" borderId="37" xfId="0" applyFont="1" applyBorder="1"/>
    <xf numFmtId="0" fontId="34" fillId="14" borderId="38" xfId="0" applyFont="1" applyFill="1" applyBorder="1"/>
    <xf numFmtId="0" fontId="34" fillId="0" borderId="38" xfId="0" applyFont="1" applyBorder="1"/>
    <xf numFmtId="0" fontId="34" fillId="0" borderId="0" xfId="0" applyFont="1"/>
    <xf numFmtId="0" fontId="34" fillId="0" borderId="40" xfId="0" applyFont="1" applyBorder="1"/>
    <xf numFmtId="0" fontId="34" fillId="0" borderId="22" xfId="0" applyFont="1" applyBorder="1"/>
    <xf numFmtId="0" fontId="34" fillId="0" borderId="23" xfId="0" applyFont="1" applyBorder="1"/>
    <xf numFmtId="0" fontId="34" fillId="0" borderId="22" xfId="0" applyFont="1" applyFill="1" applyBorder="1"/>
    <xf numFmtId="4" fontId="34" fillId="0" borderId="22" xfId="0" applyNumberFormat="1" applyFont="1" applyBorder="1"/>
    <xf numFmtId="4" fontId="34" fillId="0" borderId="23" xfId="0" applyNumberFormat="1" applyFont="1" applyBorder="1"/>
    <xf numFmtId="167" fontId="34" fillId="0" borderId="22" xfId="0" applyNumberFormat="1" applyFont="1" applyBorder="1"/>
    <xf numFmtId="0" fontId="34" fillId="0" borderId="28" xfId="0" applyFont="1" applyBorder="1"/>
    <xf numFmtId="0" fontId="34" fillId="0" borderId="25" xfId="0" applyFont="1" applyFill="1" applyBorder="1"/>
    <xf numFmtId="4" fontId="34" fillId="0" borderId="25" xfId="0" applyNumberFormat="1" applyFont="1" applyBorder="1"/>
    <xf numFmtId="0" fontId="34" fillId="0" borderId="25" xfId="0" applyFont="1" applyBorder="1"/>
    <xf numFmtId="167" fontId="34" fillId="0" borderId="25" xfId="0" applyNumberFormat="1" applyFont="1" applyBorder="1"/>
    <xf numFmtId="0" fontId="34" fillId="0" borderId="26" xfId="0" applyFont="1" applyBorder="1"/>
    <xf numFmtId="0" fontId="33" fillId="18" borderId="13" xfId="0" applyFont="1" applyFill="1" applyBorder="1"/>
    <xf numFmtId="167" fontId="34" fillId="0" borderId="0" xfId="0" applyNumberFormat="1" applyFont="1"/>
    <xf numFmtId="0" fontId="18" fillId="0" borderId="16" xfId="0" applyFont="1" applyFill="1" applyBorder="1" applyAlignment="1">
      <alignment horizontal="center"/>
    </xf>
    <xf numFmtId="0" fontId="4" fillId="8" borderId="107" xfId="0" applyFont="1" applyFill="1" applyBorder="1" applyProtection="1"/>
    <xf numFmtId="164" fontId="0" fillId="0" borderId="22" xfId="0" applyNumberFormat="1" applyBorder="1" applyProtection="1"/>
    <xf numFmtId="164" fontId="0" fillId="0" borderId="115" xfId="0" applyNumberFormat="1" applyBorder="1" applyProtection="1"/>
    <xf numFmtId="164" fontId="0" fillId="0" borderId="116" xfId="0" applyNumberFormat="1" applyBorder="1" applyProtection="1"/>
    <xf numFmtId="0" fontId="0" fillId="0" borderId="117" xfId="0" applyBorder="1" applyProtection="1"/>
    <xf numFmtId="164" fontId="0" fillId="0" borderId="118" xfId="0" applyNumberFormat="1" applyBorder="1" applyProtection="1"/>
    <xf numFmtId="9" fontId="0" fillId="0" borderId="119" xfId="2" applyFont="1" applyBorder="1" applyProtection="1"/>
    <xf numFmtId="0" fontId="0" fillId="0" borderId="120" xfId="0" applyBorder="1" applyProtection="1"/>
    <xf numFmtId="2" fontId="0" fillId="0" borderId="96" xfId="0" applyNumberFormat="1" applyBorder="1" applyProtection="1"/>
    <xf numFmtId="2" fontId="0" fillId="0" borderId="97" xfId="0" applyNumberFormat="1" applyBorder="1" applyProtection="1"/>
    <xf numFmtId="0" fontId="0" fillId="0" borderId="37" xfId="0" applyBorder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40" xfId="0" applyBorder="1" applyProtection="1"/>
    <xf numFmtId="9" fontId="0" fillId="0" borderId="23" xfId="2" applyFont="1" applyBorder="1" applyProtection="1"/>
    <xf numFmtId="0" fontId="0" fillId="0" borderId="121" xfId="0" applyBorder="1" applyProtection="1"/>
    <xf numFmtId="9" fontId="0" fillId="0" borderId="122" xfId="2" applyFont="1" applyBorder="1" applyProtection="1"/>
    <xf numFmtId="0" fontId="0" fillId="0" borderId="123" xfId="0" applyBorder="1" applyProtection="1"/>
    <xf numFmtId="9" fontId="0" fillId="0" borderId="124" xfId="2" applyFont="1" applyBorder="1" applyProtection="1"/>
    <xf numFmtId="10" fontId="0" fillId="0" borderId="119" xfId="2" applyNumberFormat="1" applyFont="1" applyBorder="1" applyProtection="1"/>
    <xf numFmtId="0" fontId="4" fillId="8" borderId="125" xfId="0" applyFont="1" applyFill="1" applyBorder="1" applyProtection="1"/>
    <xf numFmtId="0" fontId="4" fillId="8" borderId="126" xfId="0" applyFont="1" applyFill="1" applyBorder="1" applyAlignment="1" applyProtection="1">
      <alignment horizontal="center" wrapText="1"/>
    </xf>
    <xf numFmtId="0" fontId="4" fillId="8" borderId="126" xfId="0" applyFont="1" applyFill="1" applyBorder="1" applyAlignment="1" applyProtection="1">
      <alignment horizontal="center"/>
    </xf>
    <xf numFmtId="0" fontId="4" fillId="8" borderId="127" xfId="0" applyFont="1" applyFill="1" applyBorder="1" applyAlignment="1" applyProtection="1">
      <alignment horizontal="center"/>
    </xf>
    <xf numFmtId="0" fontId="34" fillId="0" borderId="39" xfId="0" applyFont="1" applyBorder="1" applyAlignment="1">
      <alignment wrapText="1"/>
    </xf>
    <xf numFmtId="2" fontId="34" fillId="0" borderId="22" xfId="0" applyNumberFormat="1" applyFont="1" applyBorder="1"/>
    <xf numFmtId="0" fontId="34" fillId="17" borderId="22" xfId="0" applyFont="1" applyFill="1" applyBorder="1"/>
    <xf numFmtId="0" fontId="33" fillId="18" borderId="110" xfId="0" applyFont="1" applyFill="1" applyBorder="1"/>
    <xf numFmtId="0" fontId="33" fillId="0" borderId="0" xfId="0" applyFont="1"/>
    <xf numFmtId="0" fontId="36" fillId="0" borderId="0" xfId="0" applyFont="1" applyAlignment="1">
      <alignment vertical="center"/>
    </xf>
    <xf numFmtId="1" fontId="37" fillId="3" borderId="102" xfId="3" applyNumberFormat="1" applyFont="1" applyFill="1" applyBorder="1" applyAlignment="1" applyProtection="1">
      <alignment horizontal="right"/>
    </xf>
    <xf numFmtId="0" fontId="35" fillId="14" borderId="128" xfId="0" applyFont="1" applyFill="1" applyBorder="1"/>
    <xf numFmtId="0" fontId="34" fillId="0" borderId="37" xfId="0" applyFont="1" applyBorder="1" applyProtection="1">
      <protection hidden="1"/>
    </xf>
    <xf numFmtId="0" fontId="34" fillId="14" borderId="38" xfId="0" applyFont="1" applyFill="1" applyBorder="1" applyProtection="1">
      <protection hidden="1"/>
    </xf>
    <xf numFmtId="0" fontId="34" fillId="0" borderId="38" xfId="0" applyFont="1" applyBorder="1" applyProtection="1">
      <protection hidden="1"/>
    </xf>
    <xf numFmtId="0" fontId="34" fillId="0" borderId="39" xfId="0" applyFont="1" applyBorder="1" applyProtection="1">
      <protection hidden="1"/>
    </xf>
    <xf numFmtId="0" fontId="34" fillId="0" borderId="0" xfId="0" applyFont="1" applyProtection="1">
      <protection hidden="1"/>
    </xf>
    <xf numFmtId="0" fontId="34" fillId="14" borderId="0" xfId="0" applyFont="1" applyFill="1" applyAlignment="1" applyProtection="1">
      <alignment horizontal="right"/>
      <protection hidden="1"/>
    </xf>
    <xf numFmtId="0" fontId="34" fillId="0" borderId="40" xfId="0" applyFont="1" applyBorder="1" applyProtection="1">
      <protection hidden="1"/>
    </xf>
    <xf numFmtId="0" fontId="34" fillId="0" borderId="22" xfId="0" applyFont="1" applyBorder="1" applyProtection="1">
      <protection hidden="1"/>
    </xf>
    <xf numFmtId="0" fontId="34" fillId="0" borderId="23" xfId="0" applyFont="1" applyBorder="1" applyProtection="1">
      <protection hidden="1"/>
    </xf>
    <xf numFmtId="1" fontId="34" fillId="0" borderId="22" xfId="0" applyNumberFormat="1" applyFont="1" applyBorder="1" applyProtection="1">
      <protection hidden="1"/>
    </xf>
    <xf numFmtId="0" fontId="34" fillId="0" borderId="22" xfId="0" applyFont="1" applyFill="1" applyBorder="1" applyProtection="1">
      <protection hidden="1"/>
    </xf>
    <xf numFmtId="4" fontId="34" fillId="0" borderId="22" xfId="0" applyNumberFormat="1" applyFont="1" applyBorder="1" applyProtection="1">
      <protection hidden="1"/>
    </xf>
    <xf numFmtId="4" fontId="34" fillId="17" borderId="22" xfId="0" applyNumberFormat="1" applyFont="1" applyFill="1" applyBorder="1" applyProtection="1">
      <protection hidden="1"/>
    </xf>
    <xf numFmtId="4" fontId="34" fillId="0" borderId="23" xfId="0" applyNumberFormat="1" applyFont="1" applyBorder="1" applyProtection="1">
      <protection hidden="1"/>
    </xf>
    <xf numFmtId="167" fontId="34" fillId="0" borderId="22" xfId="0" applyNumberFormat="1" applyFont="1" applyBorder="1" applyProtection="1">
      <protection hidden="1"/>
    </xf>
    <xf numFmtId="0" fontId="34" fillId="0" borderId="28" xfId="0" applyFont="1" applyBorder="1" applyProtection="1">
      <protection hidden="1"/>
    </xf>
    <xf numFmtId="0" fontId="34" fillId="0" borderId="25" xfId="0" applyFont="1" applyFill="1" applyBorder="1" applyProtection="1">
      <protection hidden="1"/>
    </xf>
    <xf numFmtId="4" fontId="34" fillId="0" borderId="25" xfId="0" applyNumberFormat="1" applyFont="1" applyBorder="1" applyProtection="1">
      <protection hidden="1"/>
    </xf>
    <xf numFmtId="0" fontId="34" fillId="0" borderId="25" xfId="0" applyFont="1" applyBorder="1" applyProtection="1">
      <protection hidden="1"/>
    </xf>
    <xf numFmtId="167" fontId="34" fillId="0" borderId="25" xfId="0" applyNumberFormat="1" applyFont="1" applyBorder="1" applyProtection="1">
      <protection hidden="1"/>
    </xf>
    <xf numFmtId="0" fontId="34" fillId="0" borderId="26" xfId="0" applyFont="1" applyBorder="1" applyProtection="1">
      <protection hidden="1"/>
    </xf>
    <xf numFmtId="0" fontId="33" fillId="18" borderId="12" xfId="0" applyFont="1" applyFill="1" applyBorder="1" applyProtection="1">
      <protection hidden="1"/>
    </xf>
    <xf numFmtId="0" fontId="33" fillId="18" borderId="13" xfId="0" applyFont="1" applyFill="1" applyBorder="1" applyProtection="1">
      <protection hidden="1"/>
    </xf>
    <xf numFmtId="0" fontId="33" fillId="18" borderId="14" xfId="0" applyFont="1" applyFill="1" applyBorder="1" applyProtection="1">
      <protection hidden="1"/>
    </xf>
    <xf numFmtId="0" fontId="8" fillId="0" borderId="31" xfId="0" applyFont="1" applyFill="1" applyBorder="1" applyAlignment="1" applyProtection="1">
      <alignment horizontal="center"/>
    </xf>
    <xf numFmtId="0" fontId="8" fillId="0" borderId="32" xfId="0" applyFont="1" applyFill="1" applyBorder="1" applyAlignment="1" applyProtection="1">
      <alignment horizontal="center"/>
    </xf>
    <xf numFmtId="0" fontId="9" fillId="9" borderId="33" xfId="0" applyFont="1" applyFill="1" applyBorder="1" applyAlignment="1" applyProtection="1">
      <alignment horizontal="center"/>
    </xf>
    <xf numFmtId="0" fontId="9" fillId="9" borderId="34" xfId="0" applyFont="1" applyFill="1" applyBorder="1" applyAlignment="1" applyProtection="1">
      <alignment horizontal="center"/>
    </xf>
    <xf numFmtId="168" fontId="4" fillId="5" borderId="35" xfId="3" applyNumberFormat="1" applyFont="1" applyFill="1" applyBorder="1" applyAlignment="1" applyProtection="1">
      <alignment horizontal="center"/>
    </xf>
    <xf numFmtId="168" fontId="4" fillId="5" borderId="36" xfId="3" applyNumberFormat="1" applyFont="1" applyFill="1" applyBorder="1" applyAlignment="1" applyProtection="1">
      <alignment horizontal="center"/>
    </xf>
    <xf numFmtId="0" fontId="7" fillId="7" borderId="33" xfId="0" applyFont="1" applyFill="1" applyBorder="1" applyAlignment="1" applyProtection="1">
      <alignment horizontal="center"/>
    </xf>
    <xf numFmtId="0" fontId="7" fillId="7" borderId="34" xfId="0" applyFont="1" applyFill="1" applyBorder="1" applyAlignment="1" applyProtection="1">
      <alignment horizontal="center"/>
    </xf>
    <xf numFmtId="0" fontId="0" fillId="9" borderId="0" xfId="0" applyFill="1" applyAlignment="1" applyProtection="1">
      <alignment horizontal="center"/>
    </xf>
    <xf numFmtId="0" fontId="18" fillId="13" borderId="12" xfId="0" applyFont="1" applyFill="1" applyBorder="1" applyAlignment="1">
      <alignment horizontal="center"/>
    </xf>
    <xf numFmtId="0" fontId="18" fillId="13" borderId="13" xfId="0" applyFont="1" applyFill="1" applyBorder="1" applyAlignment="1">
      <alignment horizontal="center"/>
    </xf>
    <xf numFmtId="0" fontId="18" fillId="13" borderId="14" xfId="0" applyFont="1" applyFill="1" applyBorder="1" applyAlignment="1">
      <alignment horizontal="center"/>
    </xf>
    <xf numFmtId="0" fontId="18" fillId="15" borderId="60" xfId="0" applyFont="1" applyFill="1" applyBorder="1" applyAlignment="1">
      <alignment horizontal="center"/>
    </xf>
    <xf numFmtId="0" fontId="18" fillId="15" borderId="88" xfId="0" applyFont="1" applyFill="1" applyBorder="1" applyAlignment="1">
      <alignment horizontal="center"/>
    </xf>
    <xf numFmtId="0" fontId="18" fillId="15" borderId="89" xfId="0" applyFont="1" applyFill="1" applyBorder="1" applyAlignment="1">
      <alignment horizontal="center"/>
    </xf>
    <xf numFmtId="0" fontId="24" fillId="16" borderId="18" xfId="0" applyFont="1" applyFill="1" applyBorder="1" applyAlignment="1">
      <alignment horizontal="center" vertical="center"/>
    </xf>
    <xf numFmtId="4" fontId="23" fillId="5" borderId="49" xfId="0" applyNumberFormat="1" applyFont="1" applyFill="1" applyBorder="1" applyAlignment="1">
      <alignment horizontal="center"/>
    </xf>
    <xf numFmtId="4" fontId="23" fillId="5" borderId="50" xfId="0" applyNumberFormat="1" applyFont="1" applyFill="1" applyBorder="1" applyAlignment="1">
      <alignment horizontal="center"/>
    </xf>
  </cellXfs>
  <cellStyles count="8">
    <cellStyle name="20% - Accent1 2" xfId="5"/>
    <cellStyle name="Currency" xfId="1" builtinId="4"/>
    <cellStyle name="Currency 2" xfId="4"/>
    <cellStyle name="Hyperlink" xfId="6" builtinId="8"/>
    <cellStyle name="Normal" xfId="0" builtinId="0"/>
    <cellStyle name="Normal 2" xfId="3"/>
    <cellStyle name="Normal 2 2" xfId="7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R/MONTH</a:t>
            </a:r>
            <a:r>
              <a:rPr lang="en-US" baseline="0"/>
              <a:t> </a:t>
            </a:r>
            <a:r>
              <a:rPr lang="en-US"/>
              <a:t>CURRENT</a:t>
            </a:r>
            <a:r>
              <a:rPr lang="en-US" baseline="0"/>
              <a:t> </a:t>
            </a:r>
            <a:r>
              <a:rPr lang="en-US"/>
              <a:t>VS REVISED TARIFF PER</a:t>
            </a:r>
            <a:r>
              <a:rPr lang="en-US" baseline="0"/>
              <a:t>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'Current tariff'!$B$8</c:f>
              <c:strCache>
                <c:ptCount val="1"/>
                <c:pt idx="0">
                  <c:v>Homepower1 Current</c:v>
                </c:pt>
              </c:strCache>
            </c:strRef>
          </c:tx>
          <c:spPr>
            <a:ln w="317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'Revised tariff'!$D$7:$O$7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'Current tariff'!$D$33:$O$33</c:f>
              <c:numCache>
                <c:formatCode>_ "R"\ * #\ ##0_ ;_ "R"\ * \-#\ ##0_ ;_ "R"\ * "-"_ ;_ @_ </c:formatCode>
                <c:ptCount val="12"/>
                <c:pt idx="0">
                  <c:v>2876.76</c:v>
                </c:pt>
                <c:pt idx="1">
                  <c:v>2882.4900000000002</c:v>
                </c:pt>
                <c:pt idx="2">
                  <c:v>2876.76</c:v>
                </c:pt>
                <c:pt idx="3">
                  <c:v>2882.4900000000002</c:v>
                </c:pt>
                <c:pt idx="4">
                  <c:v>2882.4900000000002</c:v>
                </c:pt>
                <c:pt idx="5">
                  <c:v>2876.76</c:v>
                </c:pt>
                <c:pt idx="6">
                  <c:v>2882.4900000000002</c:v>
                </c:pt>
                <c:pt idx="7">
                  <c:v>2876.76</c:v>
                </c:pt>
                <c:pt idx="8">
                  <c:v>2882.4900000000002</c:v>
                </c:pt>
                <c:pt idx="9">
                  <c:v>2882.4900000000002</c:v>
                </c:pt>
                <c:pt idx="10">
                  <c:v>2871.03</c:v>
                </c:pt>
                <c:pt idx="11">
                  <c:v>2882.4900000000002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6-4654-9BE9-2336D399B23F}"/>
            </c:ext>
          </c:extLst>
        </c:ser>
        <c:ser>
          <c:idx val="1"/>
          <c:order val="1"/>
          <c:tx>
            <c:strRef>
              <c:f>'Revised tariff'!$B$7</c:f>
              <c:strCache>
                <c:ptCount val="1"/>
                <c:pt idx="0">
                  <c:v>Homepower1 Revised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'Revised tariff'!$D$7:$O$7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'Revised tariff'!$D$27:$O$27</c:f>
              <c:numCache>
                <c:formatCode>_ "R"\ * #\ ##0_ ;_ "R"\ * \-#\ ##0_ ;_ "R"\ * "-"_ ;_ @_ </c:formatCode>
                <c:ptCount val="12"/>
                <c:pt idx="0">
                  <c:v>2554.4790000000003</c:v>
                </c:pt>
                <c:pt idx="1">
                  <c:v>2572.989</c:v>
                </c:pt>
                <c:pt idx="2">
                  <c:v>2554.4790000000003</c:v>
                </c:pt>
                <c:pt idx="3">
                  <c:v>2572.989</c:v>
                </c:pt>
                <c:pt idx="4">
                  <c:v>2572.989</c:v>
                </c:pt>
                <c:pt idx="5">
                  <c:v>2554.4790000000003</c:v>
                </c:pt>
                <c:pt idx="6">
                  <c:v>2572.989</c:v>
                </c:pt>
                <c:pt idx="7">
                  <c:v>2554.4790000000003</c:v>
                </c:pt>
                <c:pt idx="8">
                  <c:v>2572.989</c:v>
                </c:pt>
                <c:pt idx="9">
                  <c:v>2572.989</c:v>
                </c:pt>
                <c:pt idx="10">
                  <c:v>2535.9690000000001</c:v>
                </c:pt>
                <c:pt idx="11">
                  <c:v>2572.989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6-4654-9BE9-2336D399B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08736"/>
        <c:axId val="333201288"/>
      </c:lineChart>
      <c:catAx>
        <c:axId val="3332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01288"/>
        <c:crosses val="autoZero"/>
        <c:auto val="1"/>
        <c:lblAlgn val="ctr"/>
        <c:lblOffset val="100"/>
        <c:noMultiLvlLbl val="0"/>
      </c:catAx>
      <c:valAx>
        <c:axId val="333201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R/month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R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0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2">
                    <a:lumMod val="75000"/>
                  </a:schemeClr>
                </a:solidFill>
              </a:rPr>
              <a:t>COMPARISON</a:t>
            </a:r>
            <a:r>
              <a:rPr lang="en-US" sz="1400" b="1" baseline="0">
                <a:solidFill>
                  <a:schemeClr val="tx2">
                    <a:lumMod val="75000"/>
                  </a:schemeClr>
                </a:solidFill>
              </a:rPr>
              <a:t> OF CHARGES BETWEEN CURRENT</a:t>
            </a:r>
            <a:r>
              <a:rPr lang="en-US" sz="1400" b="1">
                <a:solidFill>
                  <a:schemeClr val="tx2">
                    <a:lumMod val="75000"/>
                  </a:schemeClr>
                </a:solidFill>
              </a:rPr>
              <a:t> AND REVISED TARIFF  </a:t>
            </a:r>
          </a:p>
        </c:rich>
      </c:tx>
      <c:layout>
        <c:manualLayout>
          <c:xMode val="edge"/>
          <c:yMode val="edge"/>
          <c:x val="8.6593439624820176E-2"/>
          <c:y val="1.7899379896429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419637383310077E-2"/>
          <c:y val="0.10203933057522233"/>
          <c:w val="0.92095226592765778"/>
          <c:h val="0.727748472923922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Comparison!$E$3</c:f>
              <c:strCache>
                <c:ptCount val="1"/>
                <c:pt idx="0">
                  <c:v>R Difference (annual)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8000"/>
                    <a:tint val="50000"/>
                    <a:satMod val="300000"/>
                  </a:schemeClr>
                </a:gs>
                <a:gs pos="35000">
                  <a:schemeClr val="accent1">
                    <a:tint val="58000"/>
                    <a:tint val="37000"/>
                    <a:satMod val="300000"/>
                  </a:schemeClr>
                </a:gs>
                <a:gs pos="100000">
                  <a:schemeClr val="accent1">
                    <a:tint val="58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Comparison!$B$5:$B$14</c:f>
              <c:strCache>
                <c:ptCount val="10"/>
                <c:pt idx="0">
                  <c:v>Energy charge</c:v>
                </c:pt>
                <c:pt idx="1">
                  <c:v>Energy charge block 1</c:v>
                </c:pt>
                <c:pt idx="2">
                  <c:v>Energy charge block 2</c:v>
                </c:pt>
                <c:pt idx="3">
                  <c:v>Total energy charge</c:v>
                </c:pt>
                <c:pt idx="4">
                  <c:v>ERS</c:v>
                </c:pt>
                <c:pt idx="5">
                  <c:v>Network capacity charge</c:v>
                </c:pt>
                <c:pt idx="6">
                  <c:v>Network demand charge</c:v>
                </c:pt>
                <c:pt idx="7">
                  <c:v>Ancillary service charge</c:v>
                </c:pt>
                <c:pt idx="8">
                  <c:v>Service and administration charge</c:v>
                </c:pt>
                <c:pt idx="9">
                  <c:v>Total</c:v>
                </c:pt>
              </c:strCache>
            </c:strRef>
          </c:cat>
          <c:val>
            <c:numRef>
              <c:f>Comparison!$E$5:$E$14</c:f>
              <c:numCache>
                <c:formatCode>"R"\ #\ ##0;[Red]"R"\ \-#\ ##0</c:formatCode>
                <c:ptCount val="10"/>
                <c:pt idx="0">
                  <c:v>21169.800000000003</c:v>
                </c:pt>
                <c:pt idx="1">
                  <c:v>-9635.760000000002</c:v>
                </c:pt>
                <c:pt idx="2">
                  <c:v>-22822.560000000009</c:v>
                </c:pt>
                <c:pt idx="3">
                  <c:v>-11288.520000000008</c:v>
                </c:pt>
                <c:pt idx="4">
                  <c:v>0</c:v>
                </c:pt>
                <c:pt idx="5">
                  <c:v>2931.6599999999985</c:v>
                </c:pt>
                <c:pt idx="6">
                  <c:v>2781</c:v>
                </c:pt>
                <c:pt idx="7">
                  <c:v>39.347999999999999</c:v>
                </c:pt>
                <c:pt idx="8">
                  <c:v>1745.8199999999995</c:v>
                </c:pt>
                <c:pt idx="9">
                  <c:v>-3790.69200000001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C-4192-9FE0-689DF8DFC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3205600"/>
        <c:axId val="333209520"/>
      </c:barChart>
      <c:catAx>
        <c:axId val="333205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09520"/>
        <c:crosses val="autoZero"/>
        <c:auto val="1"/>
        <c:lblAlgn val="ctr"/>
        <c:lblOffset val="100"/>
        <c:noMultiLvlLbl val="0"/>
      </c:catAx>
      <c:valAx>
        <c:axId val="33320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&quot;\ #\ ##0;[Red]&quot;R&quot;\ 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5"/>
      </a:solidFill>
      <a:prstDash val="solid"/>
      <a:round/>
    </a:ln>
    <a:effectLst/>
  </c:spPr>
  <c:txPr>
    <a:bodyPr/>
    <a:lstStyle/>
    <a:p>
      <a:pPr>
        <a:defRPr sz="9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and break-even at different consumption levels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2922549751115"/>
          <c:y val="0.14026392989219205"/>
          <c:w val="0.87625014350083219"/>
          <c:h val="0.6549436068610357"/>
        </c:manualLayout>
      </c:layout>
      <c:lineChart>
        <c:grouping val="standard"/>
        <c:varyColors val="0"/>
        <c:ser>
          <c:idx val="0"/>
          <c:order val="0"/>
          <c:tx>
            <c:strRef>
              <c:f>'Comp at different consumption'!$B$4</c:f>
              <c:strCache>
                <c:ptCount val="1"/>
                <c:pt idx="0">
                  <c:v>Homepower1 Current</c:v>
                </c:pt>
              </c:strCache>
            </c:strRef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'Comp at different consumption'!$C$3:$M$3</c:f>
              <c:numCache>
                <c:formatCode>General</c:formatCode>
                <c:ptCount val="11"/>
                <c:pt idx="0">
                  <c:v>150</c:v>
                </c:pt>
                <c:pt idx="1">
                  <c:v>350</c:v>
                </c:pt>
                <c:pt idx="2">
                  <c:v>600</c:v>
                </c:pt>
                <c:pt idx="3">
                  <c:v>800</c:v>
                </c:pt>
                <c:pt idx="4">
                  <c:v>1200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</c:numCache>
            </c:numRef>
          </c:cat>
          <c:val>
            <c:numRef>
              <c:f>'Comp at different consumption'!$C$4:$M$4</c:f>
              <c:numCache>
                <c:formatCode>_ "R"\ * #\ ##0_ ;_ "R"\ * \-#\ ##0_ ;_ "R"\ * "-"??_ ;_ @_ </c:formatCode>
                <c:ptCount val="11"/>
                <c:pt idx="0">
                  <c:v>200.74500000000003</c:v>
                </c:pt>
                <c:pt idx="1">
                  <c:v>468.40500000000009</c:v>
                </c:pt>
                <c:pt idx="2">
                  <c:v>802.98000000000013</c:v>
                </c:pt>
                <c:pt idx="3">
                  <c:v>1399.9075000000003</c:v>
                </c:pt>
                <c:pt idx="4">
                  <c:v>2245.1875</c:v>
                </c:pt>
                <c:pt idx="5">
                  <c:v>3935.7474999999999</c:v>
                </c:pt>
                <c:pt idx="6">
                  <c:v>6048.9475000000011</c:v>
                </c:pt>
                <c:pt idx="7">
                  <c:v>8162.1475000000009</c:v>
                </c:pt>
                <c:pt idx="8">
                  <c:v>10275.3475</c:v>
                </c:pt>
                <c:pt idx="9">
                  <c:v>12388.547500000001</c:v>
                </c:pt>
                <c:pt idx="10">
                  <c:v>14501.747499999999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6-4600-835B-60FB2E3FED1D}"/>
            </c:ext>
          </c:extLst>
        </c:ser>
        <c:ser>
          <c:idx val="1"/>
          <c:order val="1"/>
          <c:tx>
            <c:strRef>
              <c:f>'Comp at different consumption'!$B$5</c:f>
              <c:strCache>
                <c:ptCount val="1"/>
                <c:pt idx="0">
                  <c:v>Homepower1 Revised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'Comp at different consumption'!$C$3:$M$3</c:f>
              <c:numCache>
                <c:formatCode>General</c:formatCode>
                <c:ptCount val="11"/>
                <c:pt idx="0">
                  <c:v>150</c:v>
                </c:pt>
                <c:pt idx="1">
                  <c:v>350</c:v>
                </c:pt>
                <c:pt idx="2">
                  <c:v>600</c:v>
                </c:pt>
                <c:pt idx="3">
                  <c:v>800</c:v>
                </c:pt>
                <c:pt idx="4">
                  <c:v>1200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</c:numCache>
            </c:numRef>
          </c:cat>
          <c:val>
            <c:numRef>
              <c:f>'Comp at different consumption'!$C$5:$M$5</c:f>
              <c:numCache>
                <c:formatCode>_ "R"\ * #\ ##0_ ;_ "R"\ * \-#\ ##0_ ;_ "R"\ * "-"??_ ;_ @_ </c:formatCode>
                <c:ptCount val="11"/>
                <c:pt idx="0">
                  <c:v>762.93039999999996</c:v>
                </c:pt>
                <c:pt idx="1">
                  <c:v>1029.4875999999999</c:v>
                </c:pt>
                <c:pt idx="2">
                  <c:v>1362.6840999999999</c:v>
                </c:pt>
                <c:pt idx="3">
                  <c:v>1629.2413000000001</c:v>
                </c:pt>
                <c:pt idx="4">
                  <c:v>2162.3557000000001</c:v>
                </c:pt>
                <c:pt idx="5">
                  <c:v>3228.5844999999999</c:v>
                </c:pt>
                <c:pt idx="6">
                  <c:v>4561.3705000000009</c:v>
                </c:pt>
                <c:pt idx="7">
                  <c:v>5894.1565000000001</c:v>
                </c:pt>
                <c:pt idx="8">
                  <c:v>7226.9425000000001</c:v>
                </c:pt>
                <c:pt idx="9">
                  <c:v>8559.7285000000011</c:v>
                </c:pt>
                <c:pt idx="10">
                  <c:v>9892.5145000000011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6-4600-835B-60FB2E3FE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98152"/>
        <c:axId val="529148920"/>
      </c:lineChart>
      <c:catAx>
        <c:axId val="3331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 per 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148920"/>
        <c:crosses val="autoZero"/>
        <c:auto val="1"/>
        <c:lblAlgn val="ctr"/>
        <c:lblOffset val="100"/>
        <c:noMultiLvlLbl val="0"/>
      </c:catAx>
      <c:valAx>
        <c:axId val="529148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R/month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&quot;R&quot;\ * #\ ##0_ ;_ &quot;R&quot;\ * \-#\ ##0_ ;_ &quot;R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19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3048000</xdr:colOff>
      <xdr:row>6</xdr:row>
      <xdr:rowOff>107950</xdr:rowOff>
    </xdr:from>
    <xdr:to>
      <xdr:col>2</xdr:col>
      <xdr:colOff>133350</xdr:colOff>
      <xdr:row>6</xdr:row>
      <xdr:rowOff>114300</xdr:rowOff>
    </xdr:to>
    <xdr:cxnSp macro="">
      <xdr:nvCxnSpPr>
        <xdr:cNvPr id="3" name="Straight Arrow Connector 2"/>
        <xdr:cNvCxnSpPr/>
      </xdr:nvCxnSpPr>
      <xdr:spPr>
        <a:xfrm>
          <a:off x="6026150" y="1212850"/>
          <a:ext cx="1955800" cy="63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3463547</xdr:colOff>
      <xdr:row>2</xdr:row>
      <xdr:rowOff>165100</xdr:rowOff>
    </xdr:from>
    <xdr:to>
      <xdr:col>1</xdr:col>
      <xdr:colOff>4798231</xdr:colOff>
      <xdr:row>9</xdr:row>
      <xdr:rowOff>139300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1697" y="533400"/>
          <a:ext cx="1334684" cy="126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961572</xdr:colOff>
      <xdr:row>1</xdr:row>
      <xdr:rowOff>27214</xdr:rowOff>
    </xdr:from>
    <xdr:to>
      <xdr:col>2</xdr:col>
      <xdr:colOff>1206500</xdr:colOff>
      <xdr:row>1</xdr:row>
      <xdr:rowOff>172357</xdr:rowOff>
    </xdr:to>
    <xdr:sp macro="" textlink="">
      <xdr:nvSpPr>
        <xdr:cNvPr id="2" name="Down Arrow 1"/>
        <xdr:cNvSpPr/>
      </xdr:nvSpPr>
      <xdr:spPr>
        <a:xfrm>
          <a:off x="3655786" y="208643"/>
          <a:ext cx="244928" cy="145143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24564</xdr:colOff>
      <xdr:row>16</xdr:row>
      <xdr:rowOff>82468</xdr:rowOff>
    </xdr:from>
    <xdr:to>
      <xdr:col>6</xdr:col>
      <xdr:colOff>0</xdr:colOff>
      <xdr:row>34</xdr:row>
      <xdr:rowOff>164935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164936</xdr:colOff>
      <xdr:row>0</xdr:row>
      <xdr:rowOff>161266</xdr:rowOff>
    </xdr:from>
    <xdr:to>
      <xdr:col>17</xdr:col>
      <xdr:colOff>453572</xdr:colOff>
      <xdr:row>20</xdr:row>
      <xdr:rowOff>44533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799818</xdr:colOff>
      <xdr:row>7</xdr:row>
      <xdr:rowOff>55316</xdr:rowOff>
    </xdr:from>
    <xdr:to>
      <xdr:col>10</xdr:col>
      <xdr:colOff>275167</xdr:colOff>
      <xdr:row>26</xdr:row>
      <xdr:rowOff>109220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87143" y="1079500"/>
          <a:ext cx="852714" cy="0"/>
          <a:chOff x="636" y="458"/>
          <a:chExt cx="379" cy="160"/>
        </a:xfrm>
      </xdr:grpSpPr>
      <xdr:sp macro="" textlink="">
        <xdr:nvSpPr>
          <xdr:cNvPr id="3" name="WordArt 2"/>
          <xdr:cNvSpPr>
            <a:spLocks noChangeArrowheads="1" noChangeShapeType="1" noTextEdit="1"/>
          </xdr:cNvSpPr>
        </xdr:nvSpPr>
        <xdr:spPr bwMode="auto">
          <a:xfrm>
            <a:off x="636" y="458"/>
            <a:ext cx="379" cy="10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3264"/>
              </a:avLst>
            </a:prstTxWarp>
          </a:bodyPr>
          <a:lstStyle/>
          <a:p>
            <a:pPr algn="ctr" rtl="0">
              <a:buNone/>
            </a:pPr>
            <a:r>
              <a:rPr lang="en-ZA" sz="3600" kern="10" spc="720">
                <a:ln>
                  <a:noFill/>
                </a:ln>
                <a:gradFill rotWithShape="1">
                  <a:gsLst>
                    <a:gs pos="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  <a:gs pos="50000">
                      <a:srgbClr xmlns:mc="http://schemas.openxmlformats.org/markup-compatibility/2006" xmlns:a14="http://schemas.microsoft.com/office/drawing/2010/main" val="DADADA" mc:Ignorable="a14" a14:legacySpreadsheetColorIndex="22">
                        <a:gamma/>
                        <a:tint val="58431"/>
                        <a:invGamma/>
                      </a:srgbClr>
                    </a:gs>
                    <a:gs pos="10000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</a:gsLst>
                  <a:lin ang="5400000" scaled="1"/>
                </a:gradFill>
                <a:effectLst>
                  <a:outerShdw dist="45791" dir="3378596" algn="ctr" rotWithShape="0">
                    <a:srgbClr val="4D4D4D">
                      <a:alpha val="80000"/>
                    </a:srgbClr>
                  </a:outerShdw>
                </a:effectLst>
                <a:latin typeface="Arial Black"/>
              </a:rPr>
              <a:t>Design</a:t>
            </a:r>
          </a:p>
          <a:p>
            <a:pPr algn="ctr" rtl="0">
              <a:buNone/>
            </a:pPr>
            <a:r>
              <a:rPr lang="en-ZA" sz="3600" kern="10" spc="720">
                <a:ln>
                  <a:noFill/>
                </a:ln>
                <a:gradFill rotWithShape="1">
                  <a:gsLst>
                    <a:gs pos="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  <a:gs pos="50000">
                      <a:srgbClr xmlns:mc="http://schemas.openxmlformats.org/markup-compatibility/2006" xmlns:a14="http://schemas.microsoft.com/office/drawing/2010/main" val="DADADA" mc:Ignorable="a14" a14:legacySpreadsheetColorIndex="22">
                        <a:gamma/>
                        <a:tint val="58431"/>
                        <a:invGamma/>
                      </a:srgbClr>
                    </a:gs>
                    <a:gs pos="10000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</a:gsLst>
                  <a:lin ang="5400000" scaled="1"/>
                </a:gradFill>
                <a:effectLst>
                  <a:outerShdw dist="45791" dir="3378596" algn="ctr" rotWithShape="0">
                    <a:srgbClr val="4D4D4D">
                      <a:alpha val="80000"/>
                    </a:srgbClr>
                  </a:outerShdw>
                </a:effectLst>
                <a:latin typeface="Arial Black"/>
              </a:rPr>
              <a:t>rates</a:t>
            </a:r>
          </a:p>
        </xdr:txBody>
      </xdr:sp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713" y="589"/>
            <a:ext cx="229" cy="2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49486"/>
              </a:avLst>
            </a:prstTxWarp>
          </a:bodyPr>
          <a:lstStyle/>
          <a:p>
            <a:pPr algn="ctr" rtl="0">
              <a:buNone/>
            </a:pPr>
            <a:r>
              <a:rPr lang="en-ZA" sz="1800" kern="10" spc="360">
                <a:ln>
                  <a:noFill/>
                </a:ln>
                <a:gradFill rotWithShape="1">
                  <a:gsLst>
                    <a:gs pos="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  <a:gs pos="50000">
                      <a:srgbClr xmlns:mc="http://schemas.openxmlformats.org/markup-compatibility/2006" xmlns:a14="http://schemas.microsoft.com/office/drawing/2010/main" val="DADADA" mc:Ignorable="a14" a14:legacySpreadsheetColorIndex="22">
                        <a:gamma/>
                        <a:tint val="58431"/>
                        <a:invGamma/>
                      </a:srgbClr>
                    </a:gs>
                    <a:gs pos="10000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</a:gsLst>
                  <a:lin ang="5400000" scaled="1"/>
                </a:gradFill>
                <a:effectLst>
                  <a:outerShdw dist="45791" dir="3378596" algn="ctr" rotWithShape="0">
                    <a:srgbClr val="4D4D4D">
                      <a:alpha val="80000"/>
                    </a:srgbClr>
                  </a:outerShdw>
                </a:effectLst>
                <a:latin typeface="Arial Black"/>
              </a:rPr>
              <a:t>Not for publication</a:t>
            </a:r>
          </a:p>
        </xdr:txBody>
      </xdr:sp>
    </xdr:grp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5987143" y="1079500"/>
          <a:ext cx="852714" cy="0"/>
          <a:chOff x="636" y="458"/>
          <a:chExt cx="379" cy="160"/>
        </a:xfrm>
      </xdr:grpSpPr>
      <xdr:sp macro="" textlink="">
        <xdr:nvSpPr>
          <xdr:cNvPr id="6" name="WordArt 2"/>
          <xdr:cNvSpPr>
            <a:spLocks noChangeArrowheads="1" noChangeShapeType="1" noTextEdit="1"/>
          </xdr:cNvSpPr>
        </xdr:nvSpPr>
        <xdr:spPr bwMode="auto">
          <a:xfrm>
            <a:off x="636" y="458"/>
            <a:ext cx="379" cy="10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3264"/>
              </a:avLst>
            </a:prstTxWarp>
          </a:bodyPr>
          <a:lstStyle/>
          <a:p>
            <a:pPr algn="ctr" rtl="0">
              <a:buNone/>
            </a:pPr>
            <a:r>
              <a:rPr lang="en-ZA" sz="3600" kern="10" spc="720">
                <a:ln>
                  <a:noFill/>
                </a:ln>
                <a:gradFill rotWithShape="1">
                  <a:gsLst>
                    <a:gs pos="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  <a:gs pos="50000">
                      <a:srgbClr xmlns:mc="http://schemas.openxmlformats.org/markup-compatibility/2006" xmlns:a14="http://schemas.microsoft.com/office/drawing/2010/main" val="DADADA" mc:Ignorable="a14" a14:legacySpreadsheetColorIndex="22">
                        <a:gamma/>
                        <a:tint val="58431"/>
                        <a:invGamma/>
                      </a:srgbClr>
                    </a:gs>
                    <a:gs pos="10000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</a:gsLst>
                  <a:lin ang="5400000" scaled="1"/>
                </a:gradFill>
                <a:effectLst>
                  <a:outerShdw dist="45791" dir="3378596" algn="ctr" rotWithShape="0">
                    <a:srgbClr val="4D4D4D">
                      <a:alpha val="80000"/>
                    </a:srgbClr>
                  </a:outerShdw>
                </a:effectLst>
                <a:latin typeface="Arial Black"/>
              </a:rPr>
              <a:t>Design</a:t>
            </a:r>
          </a:p>
          <a:p>
            <a:pPr algn="ctr" rtl="0">
              <a:buNone/>
            </a:pPr>
            <a:r>
              <a:rPr lang="en-ZA" sz="3600" kern="10" spc="720">
                <a:ln>
                  <a:noFill/>
                </a:ln>
                <a:gradFill rotWithShape="1">
                  <a:gsLst>
                    <a:gs pos="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  <a:gs pos="50000">
                      <a:srgbClr xmlns:mc="http://schemas.openxmlformats.org/markup-compatibility/2006" xmlns:a14="http://schemas.microsoft.com/office/drawing/2010/main" val="DADADA" mc:Ignorable="a14" a14:legacySpreadsheetColorIndex="22">
                        <a:gamma/>
                        <a:tint val="58431"/>
                        <a:invGamma/>
                      </a:srgbClr>
                    </a:gs>
                    <a:gs pos="10000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</a:gsLst>
                  <a:lin ang="5400000" scaled="1"/>
                </a:gradFill>
                <a:effectLst>
                  <a:outerShdw dist="45791" dir="3378596" algn="ctr" rotWithShape="0">
                    <a:srgbClr val="4D4D4D">
                      <a:alpha val="80000"/>
                    </a:srgbClr>
                  </a:outerShdw>
                </a:effectLst>
                <a:latin typeface="Arial Black"/>
              </a:rPr>
              <a:t>rates</a:t>
            </a:r>
          </a:p>
        </xdr:txBody>
      </xdr:sp>
      <xdr:sp macro="" textlink="">
        <xdr:nvSpPr>
          <xdr:cNvPr id="7" name="WordArt 3"/>
          <xdr:cNvSpPr>
            <a:spLocks noChangeArrowheads="1" noChangeShapeType="1" noTextEdit="1"/>
          </xdr:cNvSpPr>
        </xdr:nvSpPr>
        <xdr:spPr bwMode="auto">
          <a:xfrm>
            <a:off x="713" y="589"/>
            <a:ext cx="229" cy="2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49486"/>
              </a:avLst>
            </a:prstTxWarp>
          </a:bodyPr>
          <a:lstStyle/>
          <a:p>
            <a:pPr algn="ctr" rtl="0">
              <a:buNone/>
            </a:pPr>
            <a:r>
              <a:rPr lang="en-ZA" sz="1800" kern="10" spc="360">
                <a:ln>
                  <a:noFill/>
                </a:ln>
                <a:gradFill rotWithShape="1">
                  <a:gsLst>
                    <a:gs pos="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  <a:gs pos="50000">
                      <a:srgbClr xmlns:mc="http://schemas.openxmlformats.org/markup-compatibility/2006" xmlns:a14="http://schemas.microsoft.com/office/drawing/2010/main" val="DADADA" mc:Ignorable="a14" a14:legacySpreadsheetColorIndex="22">
                        <a:gamma/>
                        <a:tint val="58431"/>
                        <a:invGamma/>
                      </a:srgbClr>
                    </a:gs>
                    <a:gs pos="10000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</a:gsLst>
                  <a:lin ang="5400000" scaled="1"/>
                </a:gradFill>
                <a:effectLst>
                  <a:outerShdw dist="45791" dir="3378596" algn="ctr" rotWithShape="0">
                    <a:srgbClr val="4D4D4D">
                      <a:alpha val="80000"/>
                    </a:srgbClr>
                  </a:outerShdw>
                </a:effectLst>
                <a:latin typeface="Arial Black"/>
              </a:rPr>
              <a:t>Not for publication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90" zoomScaleNormal="90" workbookViewId="0">
      <selection activeCell="B7" sqref="B7"/>
    </sheetView>
  </sheetViews>
  <sheetFormatPr defaultRowHeight="14.4" x14ac:dyDescent="0.3"/>
  <cols>
    <col min="1" max="1" width="42.6640625" customWidth="1"/>
    <col min="2" max="2" width="69.77734375" customWidth="1"/>
    <col min="3" max="3" width="2" customWidth="1"/>
    <col min="4" max="4" width="23.88671875" customWidth="1"/>
    <col min="5" max="5" width="7.5546875" customWidth="1"/>
    <col min="6" max="6" width="7.33203125" customWidth="1"/>
    <col min="7" max="7" width="7.5546875" customWidth="1"/>
    <col min="8" max="8" width="7.109375" customWidth="1"/>
  </cols>
  <sheetData>
    <row r="1" spans="1:8" x14ac:dyDescent="0.3">
      <c r="A1" s="17" t="s">
        <v>59</v>
      </c>
      <c r="B1" s="38" t="s">
        <v>114</v>
      </c>
    </row>
    <row r="2" spans="1:8" x14ac:dyDescent="0.3">
      <c r="A2" s="17"/>
      <c r="B2" s="38" t="s">
        <v>113</v>
      </c>
    </row>
    <row r="3" spans="1:8" x14ac:dyDescent="0.3">
      <c r="A3" s="17"/>
      <c r="B3" s="38"/>
    </row>
    <row r="4" spans="1:8" x14ac:dyDescent="0.3">
      <c r="B4" s="243" t="s">
        <v>111</v>
      </c>
    </row>
    <row r="5" spans="1:8" x14ac:dyDescent="0.3">
      <c r="A5" s="162" t="s">
        <v>111</v>
      </c>
      <c r="B5" s="242" t="s">
        <v>110</v>
      </c>
    </row>
    <row r="6" spans="1:8" x14ac:dyDescent="0.3">
      <c r="A6" s="162"/>
      <c r="B6" s="242" t="s">
        <v>130</v>
      </c>
    </row>
    <row r="7" spans="1:8" x14ac:dyDescent="0.3">
      <c r="A7" s="163"/>
      <c r="B7" s="242" t="s">
        <v>131</v>
      </c>
      <c r="D7" s="7" t="s">
        <v>109</v>
      </c>
      <c r="E7" s="7" t="s">
        <v>41</v>
      </c>
      <c r="F7" s="7" t="s">
        <v>44</v>
      </c>
      <c r="G7" s="7" t="s">
        <v>53</v>
      </c>
      <c r="H7" s="7" t="s">
        <v>54</v>
      </c>
    </row>
    <row r="8" spans="1:8" x14ac:dyDescent="0.3">
      <c r="A8" s="163"/>
      <c r="B8" s="242" t="s">
        <v>120</v>
      </c>
      <c r="D8" s="10" t="s">
        <v>39</v>
      </c>
      <c r="E8" s="11" t="s">
        <v>43</v>
      </c>
      <c r="F8" s="10"/>
      <c r="G8" s="10"/>
      <c r="H8" s="10"/>
    </row>
    <row r="9" spans="1:8" x14ac:dyDescent="0.3">
      <c r="A9" s="163"/>
      <c r="B9" s="242" t="s">
        <v>132</v>
      </c>
      <c r="D9" s="10" t="s">
        <v>47</v>
      </c>
      <c r="E9" s="11" t="s">
        <v>43</v>
      </c>
      <c r="F9" s="10"/>
      <c r="G9" s="10"/>
      <c r="H9" s="10"/>
    </row>
    <row r="10" spans="1:8" x14ac:dyDescent="0.3">
      <c r="A10" s="163"/>
      <c r="D10" s="12" t="s">
        <v>42</v>
      </c>
      <c r="E10" s="13" t="s">
        <v>43</v>
      </c>
      <c r="F10" s="12"/>
      <c r="G10" s="12"/>
      <c r="H10" s="13" t="s">
        <v>43</v>
      </c>
    </row>
    <row r="11" spans="1:8" x14ac:dyDescent="0.3">
      <c r="A11" s="164" t="s">
        <v>112</v>
      </c>
      <c r="B11" s="38" t="s">
        <v>133</v>
      </c>
      <c r="D11" s="7" t="s">
        <v>45</v>
      </c>
      <c r="E11" s="7"/>
      <c r="F11" s="14" t="s">
        <v>43</v>
      </c>
      <c r="G11" s="7"/>
      <c r="H11" s="7"/>
    </row>
    <row r="12" spans="1:8" x14ac:dyDescent="0.3">
      <c r="A12" s="163"/>
      <c r="D12" s="7" t="s">
        <v>48</v>
      </c>
      <c r="E12" s="7"/>
      <c r="F12" s="14" t="s">
        <v>43</v>
      </c>
      <c r="G12" s="7"/>
      <c r="H12" s="7"/>
    </row>
    <row r="13" spans="1:8" x14ac:dyDescent="0.3">
      <c r="A13" s="165" t="s">
        <v>57</v>
      </c>
      <c r="B13" s="38" t="s">
        <v>125</v>
      </c>
      <c r="D13" s="12" t="s">
        <v>46</v>
      </c>
      <c r="E13" s="12"/>
      <c r="F13" s="13" t="s">
        <v>43</v>
      </c>
      <c r="G13" s="12"/>
      <c r="H13" s="12"/>
    </row>
    <row r="14" spans="1:8" x14ac:dyDescent="0.3">
      <c r="A14" s="163"/>
      <c r="B14" s="18"/>
      <c r="D14" s="15" t="s">
        <v>49</v>
      </c>
      <c r="E14" s="15"/>
      <c r="F14" s="15"/>
      <c r="G14" s="16" t="s">
        <v>43</v>
      </c>
      <c r="H14" s="15"/>
    </row>
    <row r="15" spans="1:8" x14ac:dyDescent="0.3">
      <c r="A15" s="163"/>
      <c r="D15" s="10" t="s">
        <v>50</v>
      </c>
      <c r="E15" s="10"/>
      <c r="F15" s="10"/>
      <c r="G15" s="11" t="s">
        <v>43</v>
      </c>
      <c r="H15" s="10"/>
    </row>
    <row r="16" spans="1:8" x14ac:dyDescent="0.3">
      <c r="A16" s="165" t="s">
        <v>58</v>
      </c>
      <c r="B16" s="38" t="s">
        <v>124</v>
      </c>
      <c r="D16" s="12" t="s">
        <v>55</v>
      </c>
      <c r="E16" s="12"/>
      <c r="F16" s="12"/>
      <c r="G16" s="13" t="s">
        <v>43</v>
      </c>
      <c r="H16" s="12"/>
    </row>
    <row r="17" spans="1:8" x14ac:dyDescent="0.3">
      <c r="A17" s="19"/>
      <c r="D17" s="15" t="s">
        <v>51</v>
      </c>
      <c r="E17" s="15"/>
      <c r="F17" s="15"/>
      <c r="G17" s="15"/>
      <c r="H17" s="16" t="s">
        <v>43</v>
      </c>
    </row>
    <row r="18" spans="1:8" x14ac:dyDescent="0.3">
      <c r="D18" s="10" t="s">
        <v>52</v>
      </c>
      <c r="E18" s="10"/>
      <c r="F18" s="10"/>
      <c r="G18" s="10"/>
      <c r="H18" s="11" t="s">
        <v>43</v>
      </c>
    </row>
    <row r="19" spans="1:8" x14ac:dyDescent="0.3">
      <c r="D19" s="12" t="s">
        <v>56</v>
      </c>
      <c r="E19" s="13" t="s">
        <v>43</v>
      </c>
      <c r="F19" s="12"/>
      <c r="G19" s="12"/>
      <c r="H19" s="13" t="s">
        <v>43</v>
      </c>
    </row>
    <row r="22" spans="1:8" ht="16.8" customHeight="1" x14ac:dyDescent="0.3">
      <c r="E22" s="20"/>
      <c r="F22" s="20"/>
      <c r="G22" s="20"/>
      <c r="H22" s="20"/>
    </row>
    <row r="23" spans="1:8" x14ac:dyDescent="0.3">
      <c r="E23" s="20"/>
      <c r="F23" s="20"/>
      <c r="G23" s="20"/>
      <c r="H23" s="20"/>
    </row>
    <row r="24" spans="1:8" x14ac:dyDescent="0.3">
      <c r="E24" s="20"/>
      <c r="F24" s="20"/>
      <c r="G24" s="20"/>
      <c r="H24" s="20"/>
    </row>
    <row r="25" spans="1:8" x14ac:dyDescent="0.3">
      <c r="E25" s="20"/>
      <c r="F25" s="20"/>
      <c r="G25" s="20"/>
      <c r="H25" s="20"/>
    </row>
    <row r="26" spans="1:8" x14ac:dyDescent="0.3">
      <c r="E26" s="20"/>
      <c r="F26" s="20"/>
      <c r="G26" s="20"/>
      <c r="H26" s="20"/>
    </row>
    <row r="27" spans="1:8" x14ac:dyDescent="0.3">
      <c r="E27" s="20"/>
      <c r="F27" s="20"/>
      <c r="G27" s="20"/>
      <c r="H27" s="20"/>
    </row>
    <row r="28" spans="1:8" x14ac:dyDescent="0.3">
      <c r="E28" s="20"/>
      <c r="F28" s="20"/>
      <c r="G28" s="20"/>
      <c r="H28" s="20"/>
    </row>
    <row r="29" spans="1:8" x14ac:dyDescent="0.3">
      <c r="E29" s="20"/>
      <c r="F29" s="20"/>
      <c r="G29" s="20"/>
      <c r="H29" s="20"/>
    </row>
    <row r="30" spans="1:8" x14ac:dyDescent="0.3">
      <c r="E30" s="20"/>
      <c r="F30" s="20"/>
      <c r="G30" s="20"/>
      <c r="H30" s="20"/>
    </row>
    <row r="31" spans="1:8" x14ac:dyDescent="0.3">
      <c r="E31" s="20"/>
      <c r="F31" s="20"/>
      <c r="G31" s="20"/>
      <c r="H31" s="20"/>
    </row>
  </sheetData>
  <hyperlinks>
    <hyperlink ref="A5" location="'Current tariff'!A1" display="Existing tariff worksheet"/>
    <hyperlink ref="A11" location="'Revised tariff'!A1" display="New tariff worksheet"/>
    <hyperlink ref="A13" location="Comparison!A1" display="Comparison worksheet"/>
    <hyperlink ref="A16" location="'Comp at different consumption'!A1" display="Comp at different consumption levels worksheet"/>
    <hyperlink ref="B8" location="'Current tariff'!D9" display="Row 9, enter the monthly consumption"/>
    <hyperlink ref="B5" location="'Current tariff'!C2" display="Cell C2, select the current tariff category"/>
    <hyperlink ref="B9" location="'Current tariff'!C4" display="For Homepower Bulk only insert NMD in Cell C4"/>
    <hyperlink ref="B6" location="'Current tariff'!C3" display="Cell C3, select the supply size"/>
    <hyperlink ref="B4" location="'Current tariff'!A1" display="Current tariff worksheet"/>
    <hyperlink ref="B7" location="'Current tariff'!C4" display="Cell C3, select the current sub-tariff based on size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="70" zoomScaleNormal="70" workbookViewId="0">
      <selection activeCell="C3" sqref="C3"/>
    </sheetView>
  </sheetViews>
  <sheetFormatPr defaultRowHeight="14.4" x14ac:dyDescent="0.3"/>
  <cols>
    <col min="2" max="2" width="29.77734375" customWidth="1"/>
    <col min="3" max="3" width="18" customWidth="1"/>
    <col min="4" max="4" width="9.6640625" customWidth="1"/>
    <col min="5" max="5" width="14.44140625" customWidth="1"/>
    <col min="6" max="6" width="12.109375" customWidth="1"/>
    <col min="7" max="16" width="11.5546875" customWidth="1"/>
  </cols>
  <sheetData>
    <row r="1" spans="1:16" x14ac:dyDescent="0.3">
      <c r="B1" s="9" t="s">
        <v>105</v>
      </c>
      <c r="C1" s="295" t="s">
        <v>138</v>
      </c>
      <c r="D1" s="295"/>
      <c r="H1" t="s">
        <v>36</v>
      </c>
    </row>
    <row r="2" spans="1:16" ht="15" thickBot="1" x14ac:dyDescent="0.35"/>
    <row r="3" spans="1:16" ht="15" thickBot="1" x14ac:dyDescent="0.35">
      <c r="B3" s="46" t="s">
        <v>116</v>
      </c>
      <c r="C3" s="44" t="s">
        <v>25</v>
      </c>
      <c r="D3" s="292" t="s">
        <v>139</v>
      </c>
      <c r="E3" s="292"/>
      <c r="H3" s="320" t="s">
        <v>32</v>
      </c>
      <c r="I3" s="321"/>
      <c r="K3" s="293"/>
    </row>
    <row r="4" spans="1:16" ht="15" thickBot="1" x14ac:dyDescent="0.35">
      <c r="B4" s="46" t="s">
        <v>128</v>
      </c>
      <c r="C4" s="44">
        <v>25</v>
      </c>
      <c r="D4" s="292" t="s">
        <v>140</v>
      </c>
      <c r="E4" s="292"/>
      <c r="H4" s="322" t="s">
        <v>33</v>
      </c>
      <c r="I4" s="323"/>
    </row>
    <row r="5" spans="1:16" ht="15" thickBot="1" x14ac:dyDescent="0.35">
      <c r="B5" s="46" t="s">
        <v>136</v>
      </c>
      <c r="C5" s="294">
        <f>IF(C4=25,1,IF(C4=50,2,IF(C4=100,3,IF(C4=16,4," "))))</f>
        <v>1</v>
      </c>
      <c r="D5" s="292"/>
      <c r="E5" s="292"/>
      <c r="H5" s="326" t="s">
        <v>34</v>
      </c>
      <c r="I5" s="327"/>
    </row>
    <row r="6" spans="1:16" ht="15" thickBot="1" x14ac:dyDescent="0.35">
      <c r="B6" s="46" t="s">
        <v>122</v>
      </c>
      <c r="C6" s="241">
        <v>0</v>
      </c>
      <c r="D6" s="292" t="s">
        <v>135</v>
      </c>
      <c r="E6" s="292"/>
      <c r="H6" s="324" t="s">
        <v>35</v>
      </c>
      <c r="I6" s="325"/>
    </row>
    <row r="7" spans="1:16" x14ac:dyDescent="0.3">
      <c r="C7" s="163" t="s">
        <v>141</v>
      </c>
    </row>
    <row r="8" spans="1:16" ht="15" thickBot="1" x14ac:dyDescent="0.35">
      <c r="B8" t="str">
        <f>IF(C3="Homepower Bulk",C3&amp;" Current",IF(C3="Homelight 20A",C3&amp;" Current",IF(C3="Homelight 60A",C3&amp;" Current",C3&amp;C5&amp;" Current")))</f>
        <v>Homepower1 Current</v>
      </c>
    </row>
    <row r="9" spans="1:16" ht="18" thickBot="1" x14ac:dyDescent="0.35">
      <c r="A9" s="1"/>
      <c r="D9" s="105" t="s">
        <v>9</v>
      </c>
      <c r="E9" s="106" t="s">
        <v>10</v>
      </c>
      <c r="F9" s="106" t="s">
        <v>11</v>
      </c>
      <c r="G9" s="106" t="s">
        <v>0</v>
      </c>
      <c r="H9" s="106" t="s">
        <v>1</v>
      </c>
      <c r="I9" s="106" t="s">
        <v>2</v>
      </c>
      <c r="J9" s="106" t="s">
        <v>3</v>
      </c>
      <c r="K9" s="106" t="s">
        <v>4</v>
      </c>
      <c r="L9" s="106" t="s">
        <v>5</v>
      </c>
      <c r="M9" s="106" t="s">
        <v>6</v>
      </c>
      <c r="N9" s="106" t="s">
        <v>7</v>
      </c>
      <c r="O9" s="110" t="s">
        <v>8</v>
      </c>
      <c r="P9" s="114" t="s">
        <v>27</v>
      </c>
    </row>
    <row r="10" spans="1:16" ht="17.399999999999999" x14ac:dyDescent="0.3">
      <c r="A10" s="1"/>
      <c r="B10" s="4" t="s">
        <v>12</v>
      </c>
      <c r="C10" s="212" t="s">
        <v>13</v>
      </c>
      <c r="D10" s="209">
        <v>30</v>
      </c>
      <c r="E10" s="56">
        <v>31</v>
      </c>
      <c r="F10" s="56">
        <v>30</v>
      </c>
      <c r="G10" s="56">
        <v>31</v>
      </c>
      <c r="H10" s="56">
        <v>31</v>
      </c>
      <c r="I10" s="56">
        <v>30</v>
      </c>
      <c r="J10" s="56">
        <v>31</v>
      </c>
      <c r="K10" s="56">
        <v>30</v>
      </c>
      <c r="L10" s="56">
        <v>31</v>
      </c>
      <c r="M10" s="56">
        <v>31</v>
      </c>
      <c r="N10" s="56">
        <v>29</v>
      </c>
      <c r="O10" s="116">
        <v>31</v>
      </c>
    </row>
    <row r="11" spans="1:16" ht="18" thickBot="1" x14ac:dyDescent="0.35">
      <c r="A11" s="1"/>
      <c r="B11" s="193" t="s">
        <v>119</v>
      </c>
      <c r="C11" s="213" t="s">
        <v>40</v>
      </c>
      <c r="D11" s="210" t="str">
        <f>IF(C3="Homepower Bulk",C6," ")</f>
        <v xml:space="preserve"> </v>
      </c>
      <c r="E11" s="207" t="str">
        <f>D11</f>
        <v xml:space="preserve"> </v>
      </c>
      <c r="F11" s="207" t="str">
        <f t="shared" ref="F11:O11" si="0">E11</f>
        <v xml:space="preserve"> </v>
      </c>
      <c r="G11" s="207" t="str">
        <f t="shared" si="0"/>
        <v xml:space="preserve"> </v>
      </c>
      <c r="H11" s="207" t="str">
        <f>G11</f>
        <v xml:space="preserve"> </v>
      </c>
      <c r="I11" s="207" t="str">
        <f t="shared" si="0"/>
        <v xml:space="preserve"> </v>
      </c>
      <c r="J11" s="207" t="str">
        <f>I11</f>
        <v xml:space="preserve"> </v>
      </c>
      <c r="K11" s="207" t="str">
        <f t="shared" si="0"/>
        <v xml:space="preserve"> </v>
      </c>
      <c r="L11" s="207" t="str">
        <f t="shared" si="0"/>
        <v xml:space="preserve"> </v>
      </c>
      <c r="M11" s="207" t="str">
        <f t="shared" si="0"/>
        <v xml:space="preserve"> </v>
      </c>
      <c r="N11" s="207" t="str">
        <f t="shared" si="0"/>
        <v xml:space="preserve"> </v>
      </c>
      <c r="O11" s="208" t="str">
        <f t="shared" si="0"/>
        <v xml:space="preserve"> </v>
      </c>
    </row>
    <row r="12" spans="1:16" ht="18" thickBot="1" x14ac:dyDescent="0.35">
      <c r="A12" s="1"/>
      <c r="B12" s="5" t="s">
        <v>14</v>
      </c>
      <c r="C12" s="214" t="s">
        <v>15</v>
      </c>
      <c r="D12" s="211">
        <v>1500</v>
      </c>
      <c r="E12" s="211">
        <v>1500</v>
      </c>
      <c r="F12" s="211">
        <v>1500</v>
      </c>
      <c r="G12" s="211">
        <v>1500</v>
      </c>
      <c r="H12" s="211">
        <v>1500</v>
      </c>
      <c r="I12" s="211">
        <v>1500</v>
      </c>
      <c r="J12" s="211">
        <v>1500</v>
      </c>
      <c r="K12" s="211">
        <v>1500</v>
      </c>
      <c r="L12" s="211">
        <v>1500</v>
      </c>
      <c r="M12" s="211">
        <v>1500</v>
      </c>
      <c r="N12" s="211">
        <v>1500</v>
      </c>
      <c r="O12" s="211">
        <v>1500</v>
      </c>
      <c r="P12" s="115">
        <f>SUM(D12:O12)</f>
        <v>18000</v>
      </c>
    </row>
    <row r="13" spans="1:16" ht="18" thickBot="1" x14ac:dyDescent="0.35">
      <c r="A13" s="1"/>
      <c r="B13" s="2"/>
      <c r="C13" s="2"/>
    </row>
    <row r="14" spans="1:16" ht="18" thickBot="1" x14ac:dyDescent="0.35">
      <c r="A14" s="1"/>
      <c r="D14" s="105" t="s">
        <v>9</v>
      </c>
      <c r="E14" s="106" t="s">
        <v>10</v>
      </c>
      <c r="F14" s="106" t="s">
        <v>11</v>
      </c>
      <c r="G14" s="106" t="s">
        <v>0</v>
      </c>
      <c r="H14" s="106" t="s">
        <v>1</v>
      </c>
      <c r="I14" s="106" t="s">
        <v>2</v>
      </c>
      <c r="J14" s="106" t="s">
        <v>3</v>
      </c>
      <c r="K14" s="106" t="s">
        <v>4</v>
      </c>
      <c r="L14" s="106" t="s">
        <v>5</v>
      </c>
      <c r="M14" s="106" t="s">
        <v>6</v>
      </c>
      <c r="N14" s="106" t="s">
        <v>7</v>
      </c>
      <c r="O14" s="110" t="s">
        <v>8</v>
      </c>
    </row>
    <row r="15" spans="1:16" ht="14.4" customHeight="1" x14ac:dyDescent="0.3">
      <c r="A15" s="1"/>
      <c r="B15" s="84" t="s">
        <v>19</v>
      </c>
      <c r="C15" s="176" t="s">
        <v>18</v>
      </c>
      <c r="D15" s="224">
        <f>IF(C3="Homepower",0,IF(C3="Homelight 20A",0,IF(C3="Homelight 60A",0,'Tariff charges Current'!K11)))</f>
        <v>0</v>
      </c>
      <c r="E15" s="3">
        <f>D15</f>
        <v>0</v>
      </c>
      <c r="F15" s="3">
        <f t="shared" ref="F15:O15" si="1">E15</f>
        <v>0</v>
      </c>
      <c r="G15" s="3">
        <f t="shared" si="1"/>
        <v>0</v>
      </c>
      <c r="H15" s="3">
        <f t="shared" ref="H15:H21" si="2">G15</f>
        <v>0</v>
      </c>
      <c r="I15" s="3">
        <f t="shared" si="1"/>
        <v>0</v>
      </c>
      <c r="J15" s="3">
        <f t="shared" ref="J15:J21" si="3">I15</f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0</v>
      </c>
      <c r="O15" s="111">
        <f t="shared" si="1"/>
        <v>0</v>
      </c>
    </row>
    <row r="16" spans="1:16" ht="17.399999999999999" x14ac:dyDescent="0.3">
      <c r="A16" s="1"/>
      <c r="B16" s="86" t="s">
        <v>23</v>
      </c>
      <c r="C16" s="177" t="s">
        <v>18</v>
      </c>
      <c r="D16" s="224">
        <f>IF($C$3="Homepower",'Tariff charges Current'!K11,IF($C$3="Homelight 20A",'Tariff charges Current'!K11,IF($C$3="Homelight 60A",'Tariff charges Current'!K11,0)))</f>
        <v>133.83000000000001</v>
      </c>
      <c r="E16" s="3">
        <f>D16</f>
        <v>133.83000000000001</v>
      </c>
      <c r="F16" s="3">
        <f t="shared" ref="F16:O16" si="4">E16</f>
        <v>133.83000000000001</v>
      </c>
      <c r="G16" s="3">
        <f t="shared" si="4"/>
        <v>133.83000000000001</v>
      </c>
      <c r="H16" s="3">
        <f t="shared" si="2"/>
        <v>133.83000000000001</v>
      </c>
      <c r="I16" s="3">
        <f t="shared" si="4"/>
        <v>133.83000000000001</v>
      </c>
      <c r="J16" s="3">
        <f t="shared" si="3"/>
        <v>133.83000000000001</v>
      </c>
      <c r="K16" s="3">
        <f t="shared" si="4"/>
        <v>133.83000000000001</v>
      </c>
      <c r="L16" s="3">
        <f t="shared" si="4"/>
        <v>133.83000000000001</v>
      </c>
      <c r="M16" s="3">
        <f t="shared" si="4"/>
        <v>133.83000000000001</v>
      </c>
      <c r="N16" s="3">
        <f t="shared" si="4"/>
        <v>133.83000000000001</v>
      </c>
      <c r="O16" s="111">
        <f t="shared" si="4"/>
        <v>133.83000000000001</v>
      </c>
    </row>
    <row r="17" spans="1:16" ht="17.399999999999999" x14ac:dyDescent="0.3">
      <c r="A17" s="1"/>
      <c r="B17" s="86" t="s">
        <v>22</v>
      </c>
      <c r="C17" s="177" t="s">
        <v>18</v>
      </c>
      <c r="D17" s="224">
        <f>IF($C$3="Homepower",'Tariff charges Current'!L11,IF($C$3="Homelight 20A",'Tariff charges Current'!L11,IF($C$3="Homelight 60A",'Tariff charges Current'!L11,0)))</f>
        <v>211.32</v>
      </c>
      <c r="E17" s="3">
        <f>D17</f>
        <v>211.32</v>
      </c>
      <c r="F17" s="3">
        <f t="shared" ref="F17:O17" si="5">E17</f>
        <v>211.32</v>
      </c>
      <c r="G17" s="3">
        <f t="shared" si="5"/>
        <v>211.32</v>
      </c>
      <c r="H17" s="3">
        <f t="shared" si="2"/>
        <v>211.32</v>
      </c>
      <c r="I17" s="3">
        <f t="shared" si="5"/>
        <v>211.32</v>
      </c>
      <c r="J17" s="3">
        <f t="shared" si="3"/>
        <v>211.32</v>
      </c>
      <c r="K17" s="3">
        <f t="shared" si="5"/>
        <v>211.32</v>
      </c>
      <c r="L17" s="3">
        <f t="shared" si="5"/>
        <v>211.32</v>
      </c>
      <c r="M17" s="3">
        <f t="shared" si="5"/>
        <v>211.32</v>
      </c>
      <c r="N17" s="3">
        <f t="shared" si="5"/>
        <v>211.32</v>
      </c>
      <c r="O17" s="111">
        <f t="shared" si="5"/>
        <v>211.32</v>
      </c>
    </row>
    <row r="18" spans="1:16" ht="17.399999999999999" x14ac:dyDescent="0.3">
      <c r="A18" s="1"/>
      <c r="B18" s="86" t="s">
        <v>16</v>
      </c>
      <c r="C18" s="177" t="s">
        <v>118</v>
      </c>
      <c r="D18" s="224">
        <f>'Tariff charges Current'!O11</f>
        <v>5.73</v>
      </c>
      <c r="E18" s="3">
        <f>D18</f>
        <v>5.73</v>
      </c>
      <c r="F18" s="3">
        <f t="shared" ref="F18:N19" si="6">E18</f>
        <v>5.73</v>
      </c>
      <c r="G18" s="3">
        <f t="shared" si="6"/>
        <v>5.73</v>
      </c>
      <c r="H18" s="3">
        <f t="shared" si="2"/>
        <v>5.73</v>
      </c>
      <c r="I18" s="3">
        <f t="shared" si="6"/>
        <v>5.73</v>
      </c>
      <c r="J18" s="3">
        <f t="shared" si="3"/>
        <v>5.73</v>
      </c>
      <c r="K18" s="3">
        <f t="shared" si="6"/>
        <v>5.73</v>
      </c>
      <c r="L18" s="3">
        <f t="shared" si="6"/>
        <v>5.73</v>
      </c>
      <c r="M18" s="3">
        <f t="shared" si="6"/>
        <v>5.73</v>
      </c>
      <c r="N18" s="3">
        <f t="shared" si="6"/>
        <v>5.73</v>
      </c>
      <c r="O18" s="111">
        <f t="shared" ref="O18:O19" si="7">D18</f>
        <v>5.73</v>
      </c>
    </row>
    <row r="19" spans="1:16" ht="17.399999999999999" x14ac:dyDescent="0.3">
      <c r="A19" s="1"/>
      <c r="B19" s="86" t="s">
        <v>17</v>
      </c>
      <c r="C19" s="177" t="s">
        <v>18</v>
      </c>
      <c r="D19" s="224">
        <f>'Tariff charges Current'!N11</f>
        <v>0</v>
      </c>
      <c r="E19" s="3">
        <f>D19</f>
        <v>0</v>
      </c>
      <c r="F19" s="3">
        <f t="shared" si="6"/>
        <v>0</v>
      </c>
      <c r="G19" s="3">
        <f t="shared" si="6"/>
        <v>0</v>
      </c>
      <c r="H19" s="3">
        <f t="shared" si="2"/>
        <v>0</v>
      </c>
      <c r="I19" s="3">
        <f t="shared" si="6"/>
        <v>0</v>
      </c>
      <c r="J19" s="3">
        <f t="shared" si="3"/>
        <v>0</v>
      </c>
      <c r="K19" s="3">
        <f t="shared" si="6"/>
        <v>0</v>
      </c>
      <c r="L19" s="3">
        <f t="shared" si="6"/>
        <v>0</v>
      </c>
      <c r="M19" s="3">
        <f t="shared" si="6"/>
        <v>0</v>
      </c>
      <c r="N19" s="3">
        <f t="shared" si="6"/>
        <v>0</v>
      </c>
      <c r="O19" s="111">
        <f t="shared" si="7"/>
        <v>0</v>
      </c>
    </row>
    <row r="20" spans="1:16" ht="17.399999999999999" x14ac:dyDescent="0.3">
      <c r="A20" s="1"/>
      <c r="B20" s="168" t="s">
        <v>20</v>
      </c>
      <c r="C20" s="177" t="s">
        <v>18</v>
      </c>
      <c r="D20" s="224">
        <f>'Tariff charges Current'!M11</f>
        <v>0</v>
      </c>
      <c r="E20" s="3">
        <f t="shared" ref="E20:G21" si="8">D20</f>
        <v>0</v>
      </c>
      <c r="F20" s="3">
        <f t="shared" si="8"/>
        <v>0</v>
      </c>
      <c r="G20" s="3">
        <f t="shared" si="8"/>
        <v>0</v>
      </c>
      <c r="H20" s="3">
        <f t="shared" si="2"/>
        <v>0</v>
      </c>
      <c r="I20" s="3">
        <f t="shared" ref="I20:N21" si="9">H20</f>
        <v>0</v>
      </c>
      <c r="J20" s="3">
        <f t="shared" si="3"/>
        <v>0</v>
      </c>
      <c r="K20" s="3">
        <f t="shared" si="9"/>
        <v>0</v>
      </c>
      <c r="L20" s="3">
        <f t="shared" si="9"/>
        <v>0</v>
      </c>
      <c r="M20" s="3">
        <f t="shared" si="9"/>
        <v>0</v>
      </c>
      <c r="N20" s="3">
        <f t="shared" si="9"/>
        <v>0</v>
      </c>
      <c r="O20" s="111">
        <f t="shared" ref="O20:O21" si="10">D20</f>
        <v>0</v>
      </c>
    </row>
    <row r="21" spans="1:16" ht="18" thickBot="1" x14ac:dyDescent="0.35">
      <c r="A21" s="1"/>
      <c r="B21" s="169" t="s">
        <v>24</v>
      </c>
      <c r="C21" s="178" t="s">
        <v>21</v>
      </c>
      <c r="D21" s="225">
        <f>'Tariff charges Current'!P11</f>
        <v>0</v>
      </c>
      <c r="E21" s="112">
        <f>D21</f>
        <v>0</v>
      </c>
      <c r="F21" s="112">
        <f t="shared" si="8"/>
        <v>0</v>
      </c>
      <c r="G21" s="112">
        <f t="shared" si="8"/>
        <v>0</v>
      </c>
      <c r="H21" s="112">
        <f t="shared" si="2"/>
        <v>0</v>
      </c>
      <c r="I21" s="112">
        <f t="shared" si="9"/>
        <v>0</v>
      </c>
      <c r="J21" s="112">
        <f t="shared" si="3"/>
        <v>0</v>
      </c>
      <c r="K21" s="112">
        <f t="shared" si="9"/>
        <v>0</v>
      </c>
      <c r="L21" s="112">
        <f t="shared" si="9"/>
        <v>0</v>
      </c>
      <c r="M21" s="112">
        <f t="shared" si="9"/>
        <v>0</v>
      </c>
      <c r="N21" s="112">
        <f t="shared" si="9"/>
        <v>0</v>
      </c>
      <c r="O21" s="113">
        <f t="shared" si="10"/>
        <v>0</v>
      </c>
    </row>
    <row r="22" spans="1:16" ht="17.399999999999999" x14ac:dyDescent="0.3">
      <c r="A22" s="1"/>
    </row>
    <row r="23" spans="1:16" ht="15" thickBot="1" x14ac:dyDescent="0.35">
      <c r="B23" s="2"/>
      <c r="C23" s="2"/>
    </row>
    <row r="24" spans="1:16" ht="15" thickBot="1" x14ac:dyDescent="0.35">
      <c r="D24" s="226" t="s">
        <v>9</v>
      </c>
      <c r="E24" s="227" t="s">
        <v>10</v>
      </c>
      <c r="F24" s="227" t="s">
        <v>11</v>
      </c>
      <c r="G24" s="227" t="s">
        <v>0</v>
      </c>
      <c r="H24" s="227" t="s">
        <v>1</v>
      </c>
      <c r="I24" s="227" t="s">
        <v>2</v>
      </c>
      <c r="J24" s="227" t="s">
        <v>3</v>
      </c>
      <c r="K24" s="227" t="s">
        <v>4</v>
      </c>
      <c r="L24" s="227" t="s">
        <v>5</v>
      </c>
      <c r="M24" s="227" t="s">
        <v>6</v>
      </c>
      <c r="N24" s="227" t="s">
        <v>7</v>
      </c>
      <c r="O24" s="227" t="s">
        <v>8</v>
      </c>
      <c r="P24" s="78" t="s">
        <v>27</v>
      </c>
    </row>
    <row r="25" spans="1:16" ht="15" thickBot="1" x14ac:dyDescent="0.35">
      <c r="B25" s="228" t="str">
        <f>B15</f>
        <v>Energy charge</v>
      </c>
      <c r="C25" s="233"/>
      <c r="D25" s="191">
        <f>D15*D12/100</f>
        <v>0</v>
      </c>
      <c r="E25" s="100">
        <f t="shared" ref="E25:O25" si="11">E15*E12/100</f>
        <v>0</v>
      </c>
      <c r="F25" s="100">
        <f t="shared" si="11"/>
        <v>0</v>
      </c>
      <c r="G25" s="100">
        <f t="shared" si="11"/>
        <v>0</v>
      </c>
      <c r="H25" s="100">
        <f t="shared" si="11"/>
        <v>0</v>
      </c>
      <c r="I25" s="100">
        <f t="shared" si="11"/>
        <v>0</v>
      </c>
      <c r="J25" s="100">
        <f t="shared" si="11"/>
        <v>0</v>
      </c>
      <c r="K25" s="100">
        <f t="shared" si="11"/>
        <v>0</v>
      </c>
      <c r="L25" s="100">
        <f t="shared" si="11"/>
        <v>0</v>
      </c>
      <c r="M25" s="100">
        <f t="shared" si="11"/>
        <v>0</v>
      </c>
      <c r="N25" s="100">
        <f t="shared" si="11"/>
        <v>0</v>
      </c>
      <c r="O25" s="100">
        <f t="shared" si="11"/>
        <v>0</v>
      </c>
      <c r="P25" s="101">
        <f>SUM(D25:O25)</f>
        <v>0</v>
      </c>
    </row>
    <row r="26" spans="1:16" x14ac:dyDescent="0.3">
      <c r="B26" s="229" t="str">
        <f>B16</f>
        <v>Energy charge block 1</v>
      </c>
      <c r="C26" s="234"/>
      <c r="D26" s="188">
        <f>IF(D12&lt;'Comp at different consumption'!$C$2,D12*D16/100,'Comp at different consumption'!$C$2*D16/100)</f>
        <v>802.98000000000013</v>
      </c>
      <c r="E26" s="188">
        <f>IF(E12&lt;'Comp at different consumption'!$C$2,E12*E16/100,'Comp at different consumption'!$C$2*E16/100)</f>
        <v>802.98000000000013</v>
      </c>
      <c r="F26" s="188">
        <f>IF(F12&lt;'Comp at different consumption'!$C$2,F12*F16/100,'Comp at different consumption'!$C$2*F16/100)</f>
        <v>802.98000000000013</v>
      </c>
      <c r="G26" s="188">
        <f>IF(G12&lt;'Comp at different consumption'!$C$2,G12*G16/100,'Comp at different consumption'!$C$2*G16/100)</f>
        <v>802.98000000000013</v>
      </c>
      <c r="H26" s="188">
        <f>IF(H12&lt;'Comp at different consumption'!$C$2,H12*H16/100,'Comp at different consumption'!$C$2*H16/100)</f>
        <v>802.98000000000013</v>
      </c>
      <c r="I26" s="188">
        <f>IF(I12&lt;'Comp at different consumption'!$C$2,I12*I16/100,'Comp at different consumption'!$C$2*I16/100)</f>
        <v>802.98000000000013</v>
      </c>
      <c r="J26" s="188">
        <f>IF(J12&lt;'Comp at different consumption'!$C$2,J12*J16/100,'Comp at different consumption'!$C$2*J16/100)</f>
        <v>802.98000000000013</v>
      </c>
      <c r="K26" s="188">
        <f>IF(K12&lt;'Comp at different consumption'!$C$2,K12*K16/100,'Comp at different consumption'!$C$2*K16/100)</f>
        <v>802.98000000000013</v>
      </c>
      <c r="L26" s="188">
        <f>IF(L12&lt;'Comp at different consumption'!$C$2,L12*L16/100,'Comp at different consumption'!$C$2*L16/100)</f>
        <v>802.98000000000013</v>
      </c>
      <c r="M26" s="188">
        <f>IF(M12&lt;'Comp at different consumption'!$C$2,M12*M16/100,'Comp at different consumption'!$C$2*M16/100)</f>
        <v>802.98000000000013</v>
      </c>
      <c r="N26" s="188">
        <f>IF(N12&lt;'Comp at different consumption'!$C$2,N12*N16/100,'Comp at different consumption'!$C$2*N16/100)</f>
        <v>802.98000000000013</v>
      </c>
      <c r="O26" s="188">
        <f>IF(O12&lt;'Comp at different consumption'!$C$2,O12*O16/100,'Comp at different consumption'!$C$2*O16/100)</f>
        <v>802.98000000000013</v>
      </c>
      <c r="P26" s="97">
        <f t="shared" ref="P26:P33" si="12">SUM(D26:O26)</f>
        <v>9635.760000000002</v>
      </c>
    </row>
    <row r="27" spans="1:16" ht="15" thickBot="1" x14ac:dyDescent="0.35">
      <c r="B27" s="239" t="str">
        <f>B17</f>
        <v>Energy charge block 2</v>
      </c>
      <c r="C27" s="240"/>
      <c r="D27" s="187">
        <f>IF(D12&gt;'Comp at different consumption'!$C$2,(D12-'Comp at different consumption'!$C$2)*D17/100,0)</f>
        <v>1901.88</v>
      </c>
      <c r="E27" s="187">
        <f>IF(E12&gt;'Comp at different consumption'!$C$2,(E12-'Comp at different consumption'!$C$2)*E17/100,0)</f>
        <v>1901.88</v>
      </c>
      <c r="F27" s="187">
        <f>IF(F12&gt;'Comp at different consumption'!$C$2,(F12-'Comp at different consumption'!$C$2)*F17/100,0)</f>
        <v>1901.88</v>
      </c>
      <c r="G27" s="187">
        <f>IF(G12&gt;'Comp at different consumption'!$C$2,(G12-'Comp at different consumption'!$C$2)*G17/100,0)</f>
        <v>1901.88</v>
      </c>
      <c r="H27" s="187">
        <f>IF(H12&gt;'Comp at different consumption'!$C$2,(H12-'Comp at different consumption'!$C$2)*H17/100,0)</f>
        <v>1901.88</v>
      </c>
      <c r="I27" s="187">
        <f>IF(I12&gt;'Comp at different consumption'!$C$2,(I12-'Comp at different consumption'!$C$2)*I17/100,0)</f>
        <v>1901.88</v>
      </c>
      <c r="J27" s="187">
        <f>IF(J12&gt;'Comp at different consumption'!$C$2,(J12-'Comp at different consumption'!$C$2)*J17/100,0)</f>
        <v>1901.88</v>
      </c>
      <c r="K27" s="187">
        <f>IF(K12&gt;'Comp at different consumption'!$C$2,(K12-'Comp at different consumption'!$C$2)*K17/100,0)</f>
        <v>1901.88</v>
      </c>
      <c r="L27" s="187">
        <f>IF(L12&gt;'Comp at different consumption'!$C$2,(L12-'Comp at different consumption'!$C$2)*L17/100,0)</f>
        <v>1901.88</v>
      </c>
      <c r="M27" s="187">
        <f>IF(M12&gt;'Comp at different consumption'!$C$2,(M12-'Comp at different consumption'!$C$2)*M17/100,0)</f>
        <v>1901.88</v>
      </c>
      <c r="N27" s="187">
        <f>IF(N12&gt;'Comp at different consumption'!$C$2,(N12-'Comp at different consumption'!$C$2)*N17/100,0)</f>
        <v>1901.88</v>
      </c>
      <c r="O27" s="187">
        <f>IF(O12&gt;'Comp at different consumption'!$C$2,(O12-'Comp at different consumption'!$C$2)*O17/100,0)</f>
        <v>1901.88</v>
      </c>
      <c r="P27" s="107">
        <f t="shared" si="12"/>
        <v>22822.560000000009</v>
      </c>
    </row>
    <row r="28" spans="1:16" ht="15" thickBot="1" x14ac:dyDescent="0.35">
      <c r="B28" s="228" t="s">
        <v>142</v>
      </c>
      <c r="C28" s="233"/>
      <c r="D28" s="191">
        <f>SUM(D26:D27)</f>
        <v>2704.86</v>
      </c>
      <c r="E28" s="100">
        <f t="shared" ref="E28:O28" si="13">SUM(E26:E27)</f>
        <v>2704.86</v>
      </c>
      <c r="F28" s="100">
        <f t="shared" si="13"/>
        <v>2704.86</v>
      </c>
      <c r="G28" s="100">
        <f t="shared" si="13"/>
        <v>2704.86</v>
      </c>
      <c r="H28" s="100">
        <f t="shared" si="13"/>
        <v>2704.86</v>
      </c>
      <c r="I28" s="100">
        <f t="shared" si="13"/>
        <v>2704.86</v>
      </c>
      <c r="J28" s="100">
        <f t="shared" si="13"/>
        <v>2704.86</v>
      </c>
      <c r="K28" s="100">
        <f t="shared" si="13"/>
        <v>2704.86</v>
      </c>
      <c r="L28" s="100">
        <f t="shared" si="13"/>
        <v>2704.86</v>
      </c>
      <c r="M28" s="100">
        <f t="shared" si="13"/>
        <v>2704.86</v>
      </c>
      <c r="N28" s="100">
        <f t="shared" si="13"/>
        <v>2704.86</v>
      </c>
      <c r="O28" s="100">
        <f t="shared" si="13"/>
        <v>2704.86</v>
      </c>
      <c r="P28" s="101">
        <f t="shared" si="12"/>
        <v>32458.320000000003</v>
      </c>
    </row>
    <row r="29" spans="1:16" x14ac:dyDescent="0.3">
      <c r="B29" s="229" t="str">
        <f>B18</f>
        <v>Network capacity charge</v>
      </c>
      <c r="C29" s="234"/>
      <c r="D29" s="188">
        <f>IF($C$3="Homepower Bulk",D18*D11,D18*D10)</f>
        <v>171.9</v>
      </c>
      <c r="E29" s="188">
        <f t="shared" ref="E29:O29" si="14">IF($C$3="Homepower Bulk",E18*E11,E18*E10)</f>
        <v>177.63000000000002</v>
      </c>
      <c r="F29" s="188">
        <f t="shared" si="14"/>
        <v>171.9</v>
      </c>
      <c r="G29" s="188">
        <f t="shared" si="14"/>
        <v>177.63000000000002</v>
      </c>
      <c r="H29" s="188">
        <f t="shared" si="14"/>
        <v>177.63000000000002</v>
      </c>
      <c r="I29" s="188">
        <f t="shared" si="14"/>
        <v>171.9</v>
      </c>
      <c r="J29" s="188">
        <f t="shared" si="14"/>
        <v>177.63000000000002</v>
      </c>
      <c r="K29" s="188">
        <f t="shared" si="14"/>
        <v>171.9</v>
      </c>
      <c r="L29" s="188">
        <f t="shared" si="14"/>
        <v>177.63000000000002</v>
      </c>
      <c r="M29" s="188">
        <f t="shared" si="14"/>
        <v>177.63000000000002</v>
      </c>
      <c r="N29" s="188">
        <f t="shared" si="14"/>
        <v>166.17000000000002</v>
      </c>
      <c r="O29" s="188">
        <f t="shared" si="14"/>
        <v>177.63000000000002</v>
      </c>
      <c r="P29" s="97">
        <f t="shared" si="12"/>
        <v>2097.1800000000007</v>
      </c>
    </row>
    <row r="30" spans="1:16" x14ac:dyDescent="0.3">
      <c r="B30" s="230" t="str">
        <f>B19</f>
        <v>Network demand charge</v>
      </c>
      <c r="C30" s="235"/>
      <c r="D30" s="189">
        <f>D19/100*D12</f>
        <v>0</v>
      </c>
      <c r="E30" s="95">
        <f t="shared" ref="E30:O30" si="15">E19/100*E12</f>
        <v>0</v>
      </c>
      <c r="F30" s="95">
        <f t="shared" si="15"/>
        <v>0</v>
      </c>
      <c r="G30" s="95">
        <f t="shared" si="15"/>
        <v>0</v>
      </c>
      <c r="H30" s="95">
        <f t="shared" si="15"/>
        <v>0</v>
      </c>
      <c r="I30" s="95">
        <f t="shared" si="15"/>
        <v>0</v>
      </c>
      <c r="J30" s="95">
        <f t="shared" si="15"/>
        <v>0</v>
      </c>
      <c r="K30" s="95">
        <f t="shared" si="15"/>
        <v>0</v>
      </c>
      <c r="L30" s="95">
        <f t="shared" si="15"/>
        <v>0</v>
      </c>
      <c r="M30" s="95">
        <f t="shared" si="15"/>
        <v>0</v>
      </c>
      <c r="N30" s="95">
        <f t="shared" si="15"/>
        <v>0</v>
      </c>
      <c r="O30" s="95">
        <f t="shared" si="15"/>
        <v>0</v>
      </c>
      <c r="P30" s="98">
        <f t="shared" si="12"/>
        <v>0</v>
      </c>
    </row>
    <row r="31" spans="1:16" x14ac:dyDescent="0.3">
      <c r="B31" s="230" t="str">
        <f>B20</f>
        <v>Ancillary service charge</v>
      </c>
      <c r="C31" s="235"/>
      <c r="D31" s="189">
        <f>D20/100*D12</f>
        <v>0</v>
      </c>
      <c r="E31" s="95">
        <f t="shared" ref="E31:O31" si="16">E20/100*E12</f>
        <v>0</v>
      </c>
      <c r="F31" s="95">
        <f t="shared" si="16"/>
        <v>0</v>
      </c>
      <c r="G31" s="95">
        <f t="shared" si="16"/>
        <v>0</v>
      </c>
      <c r="H31" s="95">
        <f t="shared" si="16"/>
        <v>0</v>
      </c>
      <c r="I31" s="95">
        <f t="shared" si="16"/>
        <v>0</v>
      </c>
      <c r="J31" s="95">
        <f t="shared" si="16"/>
        <v>0</v>
      </c>
      <c r="K31" s="95">
        <f t="shared" si="16"/>
        <v>0</v>
      </c>
      <c r="L31" s="95">
        <f t="shared" si="16"/>
        <v>0</v>
      </c>
      <c r="M31" s="95">
        <f t="shared" si="16"/>
        <v>0</v>
      </c>
      <c r="N31" s="95">
        <f t="shared" si="16"/>
        <v>0</v>
      </c>
      <c r="O31" s="95">
        <f t="shared" si="16"/>
        <v>0</v>
      </c>
      <c r="P31" s="98">
        <f t="shared" si="12"/>
        <v>0</v>
      </c>
    </row>
    <row r="32" spans="1:16" ht="15" thickBot="1" x14ac:dyDescent="0.35">
      <c r="B32" s="231" t="str">
        <f>B21</f>
        <v>Service and administration charge</v>
      </c>
      <c r="C32" s="236"/>
      <c r="D32" s="190">
        <f>D21*D10</f>
        <v>0</v>
      </c>
      <c r="E32" s="96">
        <f t="shared" ref="E32:O32" si="17">E21*E10</f>
        <v>0</v>
      </c>
      <c r="F32" s="96">
        <f t="shared" si="17"/>
        <v>0</v>
      </c>
      <c r="G32" s="96">
        <f t="shared" si="17"/>
        <v>0</v>
      </c>
      <c r="H32" s="96">
        <f t="shared" si="17"/>
        <v>0</v>
      </c>
      <c r="I32" s="96">
        <f t="shared" si="17"/>
        <v>0</v>
      </c>
      <c r="J32" s="96">
        <f t="shared" si="17"/>
        <v>0</v>
      </c>
      <c r="K32" s="96">
        <f t="shared" si="17"/>
        <v>0</v>
      </c>
      <c r="L32" s="96">
        <f t="shared" si="17"/>
        <v>0</v>
      </c>
      <c r="M32" s="96">
        <f t="shared" si="17"/>
        <v>0</v>
      </c>
      <c r="N32" s="96">
        <f t="shared" si="17"/>
        <v>0</v>
      </c>
      <c r="O32" s="96">
        <f t="shared" si="17"/>
        <v>0</v>
      </c>
      <c r="P32" s="99">
        <f t="shared" si="12"/>
        <v>0</v>
      </c>
    </row>
    <row r="33" spans="2:16" ht="15" thickBot="1" x14ac:dyDescent="0.35">
      <c r="B33" s="232" t="s">
        <v>27</v>
      </c>
      <c r="C33" s="233"/>
      <c r="D33" s="191">
        <f>D32+D31+D30+D29+D28+D25</f>
        <v>2876.76</v>
      </c>
      <c r="E33" s="100">
        <f t="shared" ref="E33:O33" si="18">E32+E31+E30+E29+E28+E25</f>
        <v>2882.4900000000002</v>
      </c>
      <c r="F33" s="100">
        <f t="shared" si="18"/>
        <v>2876.76</v>
      </c>
      <c r="G33" s="100">
        <f t="shared" si="18"/>
        <v>2882.4900000000002</v>
      </c>
      <c r="H33" s="100">
        <f t="shared" si="18"/>
        <v>2882.4900000000002</v>
      </c>
      <c r="I33" s="100">
        <f t="shared" si="18"/>
        <v>2876.76</v>
      </c>
      <c r="J33" s="100">
        <f t="shared" si="18"/>
        <v>2882.4900000000002</v>
      </c>
      <c r="K33" s="100">
        <f t="shared" si="18"/>
        <v>2876.76</v>
      </c>
      <c r="L33" s="100">
        <f t="shared" si="18"/>
        <v>2882.4900000000002</v>
      </c>
      <c r="M33" s="100">
        <f t="shared" si="18"/>
        <v>2882.4900000000002</v>
      </c>
      <c r="N33" s="100">
        <f t="shared" si="18"/>
        <v>2871.03</v>
      </c>
      <c r="O33" s="100">
        <f t="shared" si="18"/>
        <v>2882.4900000000002</v>
      </c>
      <c r="P33" s="101">
        <f t="shared" si="12"/>
        <v>34555.5</v>
      </c>
    </row>
    <row r="34" spans="2:16" ht="15" thickBot="1" x14ac:dyDescent="0.35">
      <c r="B34" s="237" t="s">
        <v>38</v>
      </c>
      <c r="C34" s="238"/>
      <c r="D34" s="192">
        <f>D33/D12*100</f>
        <v>191.78400000000002</v>
      </c>
      <c r="E34" s="108">
        <f t="shared" ref="E34:P34" si="19">E33/E12*100</f>
        <v>192.16600000000003</v>
      </c>
      <c r="F34" s="108">
        <f t="shared" si="19"/>
        <v>191.78400000000002</v>
      </c>
      <c r="G34" s="108">
        <f t="shared" si="19"/>
        <v>192.16600000000003</v>
      </c>
      <c r="H34" s="108">
        <f t="shared" si="19"/>
        <v>192.16600000000003</v>
      </c>
      <c r="I34" s="108">
        <f t="shared" si="19"/>
        <v>191.78400000000002</v>
      </c>
      <c r="J34" s="108">
        <f t="shared" si="19"/>
        <v>192.16600000000003</v>
      </c>
      <c r="K34" s="108">
        <f t="shared" si="19"/>
        <v>191.78400000000002</v>
      </c>
      <c r="L34" s="108">
        <f t="shared" si="19"/>
        <v>192.16600000000003</v>
      </c>
      <c r="M34" s="108">
        <f t="shared" si="19"/>
        <v>192.16600000000003</v>
      </c>
      <c r="N34" s="108">
        <f t="shared" si="19"/>
        <v>191.40200000000002</v>
      </c>
      <c r="O34" s="108">
        <f t="shared" si="19"/>
        <v>192.16600000000003</v>
      </c>
      <c r="P34" s="109">
        <f t="shared" si="19"/>
        <v>191.97499999999999</v>
      </c>
    </row>
  </sheetData>
  <sheetProtection algorithmName="SHA-512" hashValue="JAr2JYKeRMw42prDXUIksVs4nXId9JSYnWkPyq4Z1dt0zXEMpD3hyyebp1u06Zx12Wu4ac8w114AJFH9y5NbpQ==" saltValue="PFcwz+ihFtCi6nOICapQ1g==" spinCount="100000" sheet="1" formatCells="0" formatColumns="0" formatRows="0"/>
  <protectedRanges>
    <protectedRange sqref="C5 C3" name="Range2"/>
    <protectedRange sqref="D12:O12" name="Range3"/>
  </protectedRanges>
  <mergeCells count="4">
    <mergeCell ref="H3:I3"/>
    <mergeCell ref="H4:I4"/>
    <mergeCell ref="H6:I6"/>
    <mergeCell ref="H5:I5"/>
  </mergeCells>
  <pageMargins left="0.7" right="0.7" top="0.75" bottom="0.75" header="0.3" footer="0.3"/>
  <pageSetup scale="59" orientation="landscape" r:id="rId1"/>
  <ignoredErrors>
    <ignoredError sqref="P12 D11:O11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'Tariff charges Current'!$J$2:$J$10</xm:f>
          </x14:formula1>
          <xm:sqref>C3</xm:sqref>
        </x14:dataValidation>
        <x14:dataValidation type="list" allowBlank="1" showInputMessage="1" showErrorMessage="1">
          <x14:formula1>
            <xm:f>'Tariff charges Current'!$V$4:$V$9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70" zoomScaleNormal="70" workbookViewId="0">
      <selection activeCell="B4" sqref="B4"/>
    </sheetView>
  </sheetViews>
  <sheetFormatPr defaultRowHeight="14.4" x14ac:dyDescent="0.3"/>
  <cols>
    <col min="2" max="2" width="29.77734375" customWidth="1"/>
    <col min="3" max="3" width="19.44140625" customWidth="1"/>
    <col min="4" max="4" width="9.6640625" customWidth="1"/>
    <col min="5" max="5" width="10.77734375" customWidth="1"/>
    <col min="6" max="6" width="12.109375" customWidth="1"/>
    <col min="7" max="15" width="11.5546875" customWidth="1"/>
    <col min="16" max="16" width="13" customWidth="1"/>
  </cols>
  <sheetData>
    <row r="1" spans="1:16" ht="15" thickBot="1" x14ac:dyDescent="0.35">
      <c r="B1" s="9" t="s">
        <v>105</v>
      </c>
      <c r="F1" t="s">
        <v>36</v>
      </c>
    </row>
    <row r="2" spans="1:16" ht="15" thickBot="1" x14ac:dyDescent="0.35">
      <c r="B2" s="159" t="s">
        <v>117</v>
      </c>
      <c r="C2" s="161" t="str">
        <f>'Current tariff'!C3</f>
        <v>Homepower</v>
      </c>
      <c r="F2" s="320" t="s">
        <v>32</v>
      </c>
      <c r="G2" s="321"/>
    </row>
    <row r="3" spans="1:16" ht="15" thickBot="1" x14ac:dyDescent="0.35">
      <c r="B3" s="6" t="s">
        <v>137</v>
      </c>
      <c r="C3" s="160">
        <f>'Current tariff'!C5</f>
        <v>1</v>
      </c>
      <c r="F3" s="322" t="s">
        <v>33</v>
      </c>
      <c r="G3" s="323"/>
    </row>
    <row r="4" spans="1:16" x14ac:dyDescent="0.3">
      <c r="F4" s="326" t="s">
        <v>34</v>
      </c>
      <c r="G4" s="327"/>
    </row>
    <row r="5" spans="1:16" x14ac:dyDescent="0.3">
      <c r="F5" s="324" t="s">
        <v>35</v>
      </c>
      <c r="G5" s="325"/>
    </row>
    <row r="6" spans="1:16" ht="15" thickBot="1" x14ac:dyDescent="0.35"/>
    <row r="7" spans="1:16" ht="18" thickBot="1" x14ac:dyDescent="0.35">
      <c r="A7" s="1"/>
      <c r="B7" t="str">
        <f>IF(C2="Homepower Bulk",C2&amp;" Revised",IF(C2="Homelight 20A",C2&amp;" Revised",IF(C2="Homelight 60A",C2&amp;" Revised",C2&amp;C3&amp;" Revised")))</f>
        <v>Homepower1 Revised</v>
      </c>
      <c r="D7" s="61" t="s">
        <v>9</v>
      </c>
      <c r="E7" s="62" t="s">
        <v>10</v>
      </c>
      <c r="F7" s="62" t="s">
        <v>11</v>
      </c>
      <c r="G7" s="62" t="s">
        <v>0</v>
      </c>
      <c r="H7" s="62" t="s">
        <v>1</v>
      </c>
      <c r="I7" s="62" t="s">
        <v>2</v>
      </c>
      <c r="J7" s="62" t="s">
        <v>3</v>
      </c>
      <c r="K7" s="62" t="s">
        <v>4</v>
      </c>
      <c r="L7" s="62" t="s">
        <v>5</v>
      </c>
      <c r="M7" s="62" t="s">
        <v>6</v>
      </c>
      <c r="N7" s="62" t="s">
        <v>7</v>
      </c>
      <c r="O7" s="63" t="s">
        <v>8</v>
      </c>
      <c r="P7" s="114" t="s">
        <v>27</v>
      </c>
    </row>
    <row r="8" spans="1:16" ht="17.399999999999999" x14ac:dyDescent="0.3">
      <c r="A8" s="1"/>
      <c r="B8" s="179" t="s">
        <v>12</v>
      </c>
      <c r="C8" s="201" t="s">
        <v>13</v>
      </c>
      <c r="D8" s="197">
        <f>'Current tariff'!D10</f>
        <v>30</v>
      </c>
      <c r="E8" s="198">
        <f>'Current tariff'!E10</f>
        <v>31</v>
      </c>
      <c r="F8" s="198">
        <f>'Current tariff'!F10</f>
        <v>30</v>
      </c>
      <c r="G8" s="198">
        <f>'Current tariff'!G10</f>
        <v>31</v>
      </c>
      <c r="H8" s="198">
        <f>'Current tariff'!H10</f>
        <v>31</v>
      </c>
      <c r="I8" s="198">
        <f>'Current tariff'!I10</f>
        <v>30</v>
      </c>
      <c r="J8" s="198">
        <f>'Current tariff'!J10</f>
        <v>31</v>
      </c>
      <c r="K8" s="198">
        <f>'Current tariff'!K10</f>
        <v>30</v>
      </c>
      <c r="L8" s="198">
        <f>'Current tariff'!L10</f>
        <v>31</v>
      </c>
      <c r="M8" s="198">
        <f>'Current tariff'!M10</f>
        <v>31</v>
      </c>
      <c r="N8" s="198">
        <f>'Current tariff'!N10</f>
        <v>29</v>
      </c>
      <c r="O8" s="199">
        <f>'Current tariff'!O10</f>
        <v>31</v>
      </c>
      <c r="P8" s="8"/>
    </row>
    <row r="9" spans="1:16" ht="18" thickBot="1" x14ac:dyDescent="0.35">
      <c r="A9" s="1"/>
      <c r="B9" s="193" t="s">
        <v>119</v>
      </c>
      <c r="C9" s="194" t="s">
        <v>40</v>
      </c>
      <c r="D9" s="202" t="str">
        <f>'Current tariff'!D11</f>
        <v xml:space="preserve"> </v>
      </c>
      <c r="E9" s="200" t="str">
        <f>'Current tariff'!E11</f>
        <v xml:space="preserve"> </v>
      </c>
      <c r="F9" s="200" t="str">
        <f>'Current tariff'!F11</f>
        <v xml:space="preserve"> </v>
      </c>
      <c r="G9" s="200" t="str">
        <f>'Current tariff'!G11</f>
        <v xml:space="preserve"> </v>
      </c>
      <c r="H9" s="200" t="str">
        <f>'Current tariff'!H11</f>
        <v xml:space="preserve"> </v>
      </c>
      <c r="I9" s="200" t="str">
        <f>'Current tariff'!I11</f>
        <v xml:space="preserve"> </v>
      </c>
      <c r="J9" s="200" t="str">
        <f>'Current tariff'!J11</f>
        <v xml:space="preserve"> </v>
      </c>
      <c r="K9" s="200" t="str">
        <f>'Current tariff'!K11</f>
        <v xml:space="preserve"> </v>
      </c>
      <c r="L9" s="200" t="str">
        <f>'Current tariff'!L11</f>
        <v xml:space="preserve"> </v>
      </c>
      <c r="M9" s="200" t="str">
        <f>'Current tariff'!M11</f>
        <v xml:space="preserve"> </v>
      </c>
      <c r="N9" s="200" t="str">
        <f>'Current tariff'!N11</f>
        <v xml:space="preserve"> </v>
      </c>
      <c r="O9" s="203" t="str">
        <f>'Current tariff'!O11</f>
        <v xml:space="preserve"> </v>
      </c>
      <c r="P9" s="8"/>
    </row>
    <row r="10" spans="1:16" ht="18" thickBot="1" x14ac:dyDescent="0.35">
      <c r="A10" s="1"/>
      <c r="B10" s="180" t="s">
        <v>14</v>
      </c>
      <c r="C10" s="196" t="s">
        <v>15</v>
      </c>
      <c r="D10" s="204">
        <f>'Current tariff'!D12</f>
        <v>1500</v>
      </c>
      <c r="E10" s="205">
        <f>'Current tariff'!E12</f>
        <v>1500</v>
      </c>
      <c r="F10" s="205">
        <f>'Current tariff'!F12</f>
        <v>1500</v>
      </c>
      <c r="G10" s="205">
        <f>'Current tariff'!G12</f>
        <v>1500</v>
      </c>
      <c r="H10" s="205">
        <f>'Current tariff'!H12</f>
        <v>1500</v>
      </c>
      <c r="I10" s="205">
        <f>'Current tariff'!I12</f>
        <v>1500</v>
      </c>
      <c r="J10" s="205">
        <f>'Current tariff'!J12</f>
        <v>1500</v>
      </c>
      <c r="K10" s="205">
        <f>'Current tariff'!K12</f>
        <v>1500</v>
      </c>
      <c r="L10" s="205">
        <f>'Current tariff'!L12</f>
        <v>1500</v>
      </c>
      <c r="M10" s="205">
        <f>'Current tariff'!M12</f>
        <v>1500</v>
      </c>
      <c r="N10" s="205">
        <f>'Current tariff'!N12</f>
        <v>1500</v>
      </c>
      <c r="O10" s="206">
        <f>'Current tariff'!O12</f>
        <v>1500</v>
      </c>
      <c r="P10" s="181">
        <f>SUM(D10:O10)</f>
        <v>18000</v>
      </c>
    </row>
    <row r="11" spans="1:16" ht="18" thickBot="1" x14ac:dyDescent="0.35">
      <c r="A11" s="1"/>
    </row>
    <row r="12" spans="1:16" ht="18" thickBot="1" x14ac:dyDescent="0.35">
      <c r="A12" s="1"/>
      <c r="B12" s="2"/>
      <c r="C12" s="2"/>
      <c r="D12" s="170" t="s">
        <v>9</v>
      </c>
      <c r="E12" s="171" t="s">
        <v>10</v>
      </c>
      <c r="F12" s="171" t="s">
        <v>11</v>
      </c>
      <c r="G12" s="171" t="s">
        <v>0</v>
      </c>
      <c r="H12" s="171" t="s">
        <v>1</v>
      </c>
      <c r="I12" s="171" t="s">
        <v>2</v>
      </c>
      <c r="J12" s="171" t="s">
        <v>3</v>
      </c>
      <c r="K12" s="171" t="s">
        <v>4</v>
      </c>
      <c r="L12" s="171" t="s">
        <v>5</v>
      </c>
      <c r="M12" s="171" t="s">
        <v>6</v>
      </c>
      <c r="N12" s="171" t="s">
        <v>7</v>
      </c>
      <c r="O12" s="172" t="s">
        <v>8</v>
      </c>
    </row>
    <row r="13" spans="1:16" ht="14.4" customHeight="1" x14ac:dyDescent="0.3">
      <c r="A13" s="1"/>
      <c r="B13" s="84" t="s">
        <v>19</v>
      </c>
      <c r="C13" s="176" t="s">
        <v>18</v>
      </c>
      <c r="D13" s="175">
        <f>'Tariff charges Revised'!O11</f>
        <v>117.61</v>
      </c>
      <c r="E13" s="173">
        <f>D13</f>
        <v>117.61</v>
      </c>
      <c r="F13" s="173">
        <f t="shared" ref="F13:O18" si="0">E13</f>
        <v>117.61</v>
      </c>
      <c r="G13" s="173">
        <f t="shared" si="0"/>
        <v>117.61</v>
      </c>
      <c r="H13" s="173">
        <f t="shared" si="0"/>
        <v>117.61</v>
      </c>
      <c r="I13" s="173">
        <f t="shared" si="0"/>
        <v>117.61</v>
      </c>
      <c r="J13" s="173">
        <f t="shared" si="0"/>
        <v>117.61</v>
      </c>
      <c r="K13" s="173">
        <f t="shared" si="0"/>
        <v>117.61</v>
      </c>
      <c r="L13" s="173">
        <f t="shared" si="0"/>
        <v>117.61</v>
      </c>
      <c r="M13" s="173">
        <f t="shared" si="0"/>
        <v>117.61</v>
      </c>
      <c r="N13" s="173">
        <f t="shared" si="0"/>
        <v>117.61</v>
      </c>
      <c r="O13" s="174">
        <f t="shared" si="0"/>
        <v>117.61</v>
      </c>
    </row>
    <row r="14" spans="1:16" ht="17.399999999999999" x14ac:dyDescent="0.3">
      <c r="A14" s="1"/>
      <c r="B14" s="86" t="s">
        <v>16</v>
      </c>
      <c r="C14" s="177" t="s">
        <v>121</v>
      </c>
      <c r="D14" s="166">
        <f>'Tariff charges Revised'!S11</f>
        <v>13.74</v>
      </c>
      <c r="E14" s="60">
        <f>D14</f>
        <v>13.74</v>
      </c>
      <c r="F14" s="60">
        <f t="shared" si="0"/>
        <v>13.74</v>
      </c>
      <c r="G14" s="60">
        <f t="shared" si="0"/>
        <v>13.74</v>
      </c>
      <c r="H14" s="60">
        <f t="shared" si="0"/>
        <v>13.74</v>
      </c>
      <c r="I14" s="60">
        <f t="shared" si="0"/>
        <v>13.74</v>
      </c>
      <c r="J14" s="60">
        <f t="shared" si="0"/>
        <v>13.74</v>
      </c>
      <c r="K14" s="60">
        <f t="shared" si="0"/>
        <v>13.74</v>
      </c>
      <c r="L14" s="60">
        <f t="shared" si="0"/>
        <v>13.74</v>
      </c>
      <c r="M14" s="60">
        <f t="shared" si="0"/>
        <v>13.74</v>
      </c>
      <c r="N14" s="60">
        <f t="shared" si="0"/>
        <v>13.74</v>
      </c>
      <c r="O14" s="64">
        <f t="shared" ref="O14:O17" si="1">D14</f>
        <v>13.74</v>
      </c>
    </row>
    <row r="15" spans="1:16" ht="17.399999999999999" x14ac:dyDescent="0.3">
      <c r="A15" s="1"/>
      <c r="B15" s="86" t="s">
        <v>17</v>
      </c>
      <c r="C15" s="177" t="s">
        <v>18</v>
      </c>
      <c r="D15" s="166">
        <f>'Tariff charges Revised'!R11</f>
        <v>15.45</v>
      </c>
      <c r="E15" s="60">
        <f>D15</f>
        <v>15.45</v>
      </c>
      <c r="F15" s="60">
        <f t="shared" si="0"/>
        <v>15.45</v>
      </c>
      <c r="G15" s="60">
        <f t="shared" si="0"/>
        <v>15.45</v>
      </c>
      <c r="H15" s="60">
        <f t="shared" si="0"/>
        <v>15.45</v>
      </c>
      <c r="I15" s="60">
        <f t="shared" si="0"/>
        <v>15.45</v>
      </c>
      <c r="J15" s="60">
        <f t="shared" si="0"/>
        <v>15.45</v>
      </c>
      <c r="K15" s="60">
        <f t="shared" si="0"/>
        <v>15.45</v>
      </c>
      <c r="L15" s="60">
        <f t="shared" si="0"/>
        <v>15.45</v>
      </c>
      <c r="M15" s="60">
        <f t="shared" si="0"/>
        <v>15.45</v>
      </c>
      <c r="N15" s="60">
        <f t="shared" si="0"/>
        <v>15.45</v>
      </c>
      <c r="O15" s="64">
        <f t="shared" si="1"/>
        <v>15.45</v>
      </c>
    </row>
    <row r="16" spans="1:16" ht="17.399999999999999" x14ac:dyDescent="0.3">
      <c r="A16" s="1"/>
      <c r="B16" s="168" t="s">
        <v>20</v>
      </c>
      <c r="C16" s="177" t="s">
        <v>18</v>
      </c>
      <c r="D16" s="166">
        <f>'Tariff charges Revised'!Q11</f>
        <v>0.21859999999999999</v>
      </c>
      <c r="E16" s="60">
        <f t="shared" ref="E16:G18" si="2">D16</f>
        <v>0.21859999999999999</v>
      </c>
      <c r="F16" s="60">
        <f t="shared" si="2"/>
        <v>0.21859999999999999</v>
      </c>
      <c r="G16" s="60">
        <f t="shared" si="2"/>
        <v>0.21859999999999999</v>
      </c>
      <c r="H16" s="60">
        <f t="shared" si="0"/>
        <v>0.21859999999999999</v>
      </c>
      <c r="I16" s="60">
        <f t="shared" si="0"/>
        <v>0.21859999999999999</v>
      </c>
      <c r="J16" s="60">
        <f t="shared" si="0"/>
        <v>0.21859999999999999</v>
      </c>
      <c r="K16" s="60">
        <f t="shared" si="0"/>
        <v>0.21859999999999999</v>
      </c>
      <c r="L16" s="60">
        <f t="shared" si="0"/>
        <v>0.21859999999999999</v>
      </c>
      <c r="M16" s="60">
        <f t="shared" si="0"/>
        <v>0.21859999999999999</v>
      </c>
      <c r="N16" s="60">
        <f t="shared" si="0"/>
        <v>0.21859999999999999</v>
      </c>
      <c r="O16" s="64">
        <f t="shared" si="1"/>
        <v>0.21859999999999999</v>
      </c>
    </row>
    <row r="17" spans="1:16" ht="17.399999999999999" x14ac:dyDescent="0.3">
      <c r="A17" s="1"/>
      <c r="B17" s="168" t="s">
        <v>24</v>
      </c>
      <c r="C17" s="177" t="s">
        <v>21</v>
      </c>
      <c r="D17" s="166">
        <f>'Tariff charges Revised'!T11</f>
        <v>4.7699999999999996</v>
      </c>
      <c r="E17" s="60">
        <f>D17</f>
        <v>4.7699999999999996</v>
      </c>
      <c r="F17" s="60">
        <f t="shared" si="2"/>
        <v>4.7699999999999996</v>
      </c>
      <c r="G17" s="60">
        <f t="shared" si="2"/>
        <v>4.7699999999999996</v>
      </c>
      <c r="H17" s="60">
        <f t="shared" si="0"/>
        <v>4.7699999999999996</v>
      </c>
      <c r="I17" s="60">
        <f t="shared" si="0"/>
        <v>4.7699999999999996</v>
      </c>
      <c r="J17" s="60">
        <f t="shared" si="0"/>
        <v>4.7699999999999996</v>
      </c>
      <c r="K17" s="60">
        <f t="shared" si="0"/>
        <v>4.7699999999999996</v>
      </c>
      <c r="L17" s="60">
        <f t="shared" si="0"/>
        <v>4.7699999999999996</v>
      </c>
      <c r="M17" s="60">
        <f t="shared" si="0"/>
        <v>4.7699999999999996</v>
      </c>
      <c r="N17" s="60">
        <f t="shared" si="0"/>
        <v>4.7699999999999996</v>
      </c>
      <c r="O17" s="64">
        <f t="shared" si="1"/>
        <v>4.7699999999999996</v>
      </c>
    </row>
    <row r="18" spans="1:16" ht="18" thickBot="1" x14ac:dyDescent="0.35">
      <c r="A18" s="1"/>
      <c r="B18" s="169" t="s">
        <v>87</v>
      </c>
      <c r="C18" s="178" t="s">
        <v>18</v>
      </c>
      <c r="D18" s="167">
        <f>'Tariff charges Revised'!U11</f>
        <v>0</v>
      </c>
      <c r="E18" s="65">
        <f>D18</f>
        <v>0</v>
      </c>
      <c r="F18" s="65">
        <f t="shared" si="2"/>
        <v>0</v>
      </c>
      <c r="G18" s="65">
        <f t="shared" si="2"/>
        <v>0</v>
      </c>
      <c r="H18" s="65">
        <f t="shared" si="0"/>
        <v>0</v>
      </c>
      <c r="I18" s="65">
        <f t="shared" si="0"/>
        <v>0</v>
      </c>
      <c r="J18" s="65">
        <f t="shared" si="0"/>
        <v>0</v>
      </c>
      <c r="K18" s="65">
        <f t="shared" si="0"/>
        <v>0</v>
      </c>
      <c r="L18" s="65">
        <f t="shared" si="0"/>
        <v>0</v>
      </c>
      <c r="M18" s="65">
        <f t="shared" si="0"/>
        <v>0</v>
      </c>
      <c r="N18" s="65">
        <f t="shared" si="0"/>
        <v>0</v>
      </c>
      <c r="O18" s="66">
        <f t="shared" ref="O18" si="3">N18</f>
        <v>0</v>
      </c>
    </row>
    <row r="19" spans="1:16" ht="15" thickBot="1" x14ac:dyDescent="0.35"/>
    <row r="20" spans="1:16" ht="15" thickBot="1" x14ac:dyDescent="0.35">
      <c r="B20" s="2"/>
      <c r="C20" s="2"/>
      <c r="D20" s="61" t="s">
        <v>9</v>
      </c>
      <c r="E20" s="62" t="s">
        <v>10</v>
      </c>
      <c r="F20" s="62" t="s">
        <v>11</v>
      </c>
      <c r="G20" s="62" t="s">
        <v>0</v>
      </c>
      <c r="H20" s="62" t="s">
        <v>1</v>
      </c>
      <c r="I20" s="62" t="s">
        <v>2</v>
      </c>
      <c r="J20" s="62" t="s">
        <v>3</v>
      </c>
      <c r="K20" s="62" t="s">
        <v>4</v>
      </c>
      <c r="L20" s="62" t="s">
        <v>5</v>
      </c>
      <c r="M20" s="62" t="s">
        <v>6</v>
      </c>
      <c r="N20" s="62" t="s">
        <v>7</v>
      </c>
      <c r="O20" s="63" t="s">
        <v>8</v>
      </c>
      <c r="P20" s="78" t="s">
        <v>27</v>
      </c>
    </row>
    <row r="21" spans="1:16" x14ac:dyDescent="0.3">
      <c r="B21" s="84" t="str">
        <f>B13</f>
        <v>Energy charge</v>
      </c>
      <c r="C21" s="85"/>
      <c r="D21" s="79">
        <f>D13*D10/100</f>
        <v>1764.15</v>
      </c>
      <c r="E21" s="68">
        <f t="shared" ref="E21:O21" si="4">E13*E10/100</f>
        <v>1764.15</v>
      </c>
      <c r="F21" s="68">
        <f t="shared" si="4"/>
        <v>1764.15</v>
      </c>
      <c r="G21" s="68">
        <f t="shared" si="4"/>
        <v>1764.15</v>
      </c>
      <c r="H21" s="68">
        <f t="shared" si="4"/>
        <v>1764.15</v>
      </c>
      <c r="I21" s="68">
        <f t="shared" si="4"/>
        <v>1764.15</v>
      </c>
      <c r="J21" s="68">
        <f t="shared" si="4"/>
        <v>1764.15</v>
      </c>
      <c r="K21" s="68">
        <f t="shared" si="4"/>
        <v>1764.15</v>
      </c>
      <c r="L21" s="68">
        <f t="shared" si="4"/>
        <v>1764.15</v>
      </c>
      <c r="M21" s="68">
        <f t="shared" si="4"/>
        <v>1764.15</v>
      </c>
      <c r="N21" s="68">
        <f t="shared" si="4"/>
        <v>1764.15</v>
      </c>
      <c r="O21" s="68">
        <f t="shared" si="4"/>
        <v>1764.15</v>
      </c>
      <c r="P21" s="69">
        <f>SUM(D21:O21)</f>
        <v>21169.800000000003</v>
      </c>
    </row>
    <row r="22" spans="1:16" x14ac:dyDescent="0.3">
      <c r="B22" s="86" t="str">
        <f>B14</f>
        <v>Network capacity charge</v>
      </c>
      <c r="C22" s="87"/>
      <c r="D22" s="80">
        <f>IF($C$2="Homepower Bulk",D14*D9,D14*D8)</f>
        <v>412.2</v>
      </c>
      <c r="E22" s="80">
        <f t="shared" ref="E22:O22" si="5">IF($C$2="Homepower Bulk",E14*E9,E14*E8)</f>
        <v>425.94</v>
      </c>
      <c r="F22" s="80">
        <f t="shared" si="5"/>
        <v>412.2</v>
      </c>
      <c r="G22" s="80">
        <f t="shared" si="5"/>
        <v>425.94</v>
      </c>
      <c r="H22" s="80">
        <f t="shared" si="5"/>
        <v>425.94</v>
      </c>
      <c r="I22" s="80">
        <f t="shared" si="5"/>
        <v>412.2</v>
      </c>
      <c r="J22" s="80">
        <f t="shared" si="5"/>
        <v>425.94</v>
      </c>
      <c r="K22" s="80">
        <f t="shared" si="5"/>
        <v>412.2</v>
      </c>
      <c r="L22" s="80">
        <f t="shared" si="5"/>
        <v>425.94</v>
      </c>
      <c r="M22" s="80">
        <f t="shared" si="5"/>
        <v>425.94</v>
      </c>
      <c r="N22" s="80">
        <f t="shared" si="5"/>
        <v>398.46</v>
      </c>
      <c r="O22" s="80">
        <f t="shared" si="5"/>
        <v>425.94</v>
      </c>
      <c r="P22" s="70">
        <f t="shared" ref="P22:P26" si="6">SUM(D22:O22)</f>
        <v>5028.8399999999992</v>
      </c>
    </row>
    <row r="23" spans="1:16" x14ac:dyDescent="0.3">
      <c r="B23" s="86" t="str">
        <f>B15</f>
        <v>Network demand charge</v>
      </c>
      <c r="C23" s="88"/>
      <c r="D23" s="80">
        <f t="shared" ref="D23:O23" si="7">D15/100*D10</f>
        <v>231.75</v>
      </c>
      <c r="E23" s="67">
        <f t="shared" si="7"/>
        <v>231.75</v>
      </c>
      <c r="F23" s="67">
        <f t="shared" si="7"/>
        <v>231.75</v>
      </c>
      <c r="G23" s="67">
        <f t="shared" si="7"/>
        <v>231.75</v>
      </c>
      <c r="H23" s="67">
        <f t="shared" si="7"/>
        <v>231.75</v>
      </c>
      <c r="I23" s="67">
        <f t="shared" si="7"/>
        <v>231.75</v>
      </c>
      <c r="J23" s="67">
        <f t="shared" si="7"/>
        <v>231.75</v>
      </c>
      <c r="K23" s="67">
        <f t="shared" si="7"/>
        <v>231.75</v>
      </c>
      <c r="L23" s="67">
        <f t="shared" si="7"/>
        <v>231.75</v>
      </c>
      <c r="M23" s="67">
        <f t="shared" si="7"/>
        <v>231.75</v>
      </c>
      <c r="N23" s="67">
        <f t="shared" si="7"/>
        <v>231.75</v>
      </c>
      <c r="O23" s="67">
        <f t="shared" si="7"/>
        <v>231.75</v>
      </c>
      <c r="P23" s="70">
        <f t="shared" si="6"/>
        <v>2781</v>
      </c>
    </row>
    <row r="24" spans="1:16" x14ac:dyDescent="0.3">
      <c r="B24" s="86" t="str">
        <f>B16</f>
        <v>Ancillary service charge</v>
      </c>
      <c r="C24" s="88"/>
      <c r="D24" s="80">
        <f t="shared" ref="D24:O24" si="8">D16/100*D10</f>
        <v>3.2789999999999999</v>
      </c>
      <c r="E24" s="67">
        <f t="shared" si="8"/>
        <v>3.2789999999999999</v>
      </c>
      <c r="F24" s="67">
        <f t="shared" si="8"/>
        <v>3.2789999999999999</v>
      </c>
      <c r="G24" s="67">
        <f t="shared" si="8"/>
        <v>3.2789999999999999</v>
      </c>
      <c r="H24" s="67">
        <f t="shared" si="8"/>
        <v>3.2789999999999999</v>
      </c>
      <c r="I24" s="67">
        <f t="shared" si="8"/>
        <v>3.2789999999999999</v>
      </c>
      <c r="J24" s="67">
        <f t="shared" si="8"/>
        <v>3.2789999999999999</v>
      </c>
      <c r="K24" s="67">
        <f t="shared" si="8"/>
        <v>3.2789999999999999</v>
      </c>
      <c r="L24" s="67">
        <f t="shared" si="8"/>
        <v>3.2789999999999999</v>
      </c>
      <c r="M24" s="67">
        <f t="shared" si="8"/>
        <v>3.2789999999999999</v>
      </c>
      <c r="N24" s="67">
        <f t="shared" si="8"/>
        <v>3.2789999999999999</v>
      </c>
      <c r="O24" s="67">
        <f t="shared" si="8"/>
        <v>3.2789999999999999</v>
      </c>
      <c r="P24" s="70">
        <f t="shared" si="6"/>
        <v>39.347999999999999</v>
      </c>
    </row>
    <row r="25" spans="1:16" x14ac:dyDescent="0.3">
      <c r="B25" s="89" t="str">
        <f>B17</f>
        <v>Service and administration charge</v>
      </c>
      <c r="C25" s="90"/>
      <c r="D25" s="80">
        <f t="shared" ref="D25:O25" si="9">D17*D8</f>
        <v>143.1</v>
      </c>
      <c r="E25" s="67">
        <f t="shared" si="9"/>
        <v>147.86999999999998</v>
      </c>
      <c r="F25" s="67">
        <f t="shared" si="9"/>
        <v>143.1</v>
      </c>
      <c r="G25" s="67">
        <f t="shared" si="9"/>
        <v>147.86999999999998</v>
      </c>
      <c r="H25" s="67">
        <f t="shared" si="9"/>
        <v>147.86999999999998</v>
      </c>
      <c r="I25" s="67">
        <f t="shared" si="9"/>
        <v>143.1</v>
      </c>
      <c r="J25" s="67">
        <f t="shared" si="9"/>
        <v>147.86999999999998</v>
      </c>
      <c r="K25" s="67">
        <f t="shared" si="9"/>
        <v>143.1</v>
      </c>
      <c r="L25" s="67">
        <f t="shared" si="9"/>
        <v>147.86999999999998</v>
      </c>
      <c r="M25" s="67">
        <f t="shared" si="9"/>
        <v>147.86999999999998</v>
      </c>
      <c r="N25" s="67">
        <f t="shared" si="9"/>
        <v>138.32999999999998</v>
      </c>
      <c r="O25" s="67">
        <f t="shared" si="9"/>
        <v>147.86999999999998</v>
      </c>
      <c r="P25" s="70">
        <f t="shared" si="6"/>
        <v>1745.8199999999995</v>
      </c>
    </row>
    <row r="26" spans="1:16" ht="15" thickBot="1" x14ac:dyDescent="0.35">
      <c r="B26" s="91" t="s">
        <v>87</v>
      </c>
      <c r="C26" s="90"/>
      <c r="D26" s="81">
        <f>D18*D10/100</f>
        <v>0</v>
      </c>
      <c r="E26" s="71">
        <f t="shared" ref="E26:O26" si="10">E18*E10/100</f>
        <v>0</v>
      </c>
      <c r="F26" s="71">
        <f t="shared" si="10"/>
        <v>0</v>
      </c>
      <c r="G26" s="71">
        <f t="shared" si="10"/>
        <v>0</v>
      </c>
      <c r="H26" s="71">
        <f t="shared" si="10"/>
        <v>0</v>
      </c>
      <c r="I26" s="71">
        <f t="shared" si="10"/>
        <v>0</v>
      </c>
      <c r="J26" s="71">
        <f t="shared" si="10"/>
        <v>0</v>
      </c>
      <c r="K26" s="71">
        <f t="shared" si="10"/>
        <v>0</v>
      </c>
      <c r="L26" s="71">
        <f t="shared" si="10"/>
        <v>0</v>
      </c>
      <c r="M26" s="71">
        <f t="shared" si="10"/>
        <v>0</v>
      </c>
      <c r="N26" s="71">
        <f t="shared" si="10"/>
        <v>0</v>
      </c>
      <c r="O26" s="71">
        <f t="shared" si="10"/>
        <v>0</v>
      </c>
      <c r="P26" s="72">
        <f t="shared" si="6"/>
        <v>0</v>
      </c>
    </row>
    <row r="27" spans="1:16" ht="15" thickBot="1" x14ac:dyDescent="0.35">
      <c r="B27" s="77" t="s">
        <v>27</v>
      </c>
      <c r="C27" s="92"/>
      <c r="D27" s="82">
        <f>D25+D24+D23+D22+D21+D26</f>
        <v>2554.4790000000003</v>
      </c>
      <c r="E27" s="75">
        <f t="shared" ref="E27:P27" si="11">E25+E24+E23+E22+E21+E26</f>
        <v>2572.989</v>
      </c>
      <c r="F27" s="75">
        <f t="shared" si="11"/>
        <v>2554.4790000000003</v>
      </c>
      <c r="G27" s="75">
        <f t="shared" si="11"/>
        <v>2572.989</v>
      </c>
      <c r="H27" s="75">
        <f t="shared" si="11"/>
        <v>2572.989</v>
      </c>
      <c r="I27" s="75">
        <f t="shared" si="11"/>
        <v>2554.4790000000003</v>
      </c>
      <c r="J27" s="75">
        <f t="shared" si="11"/>
        <v>2572.989</v>
      </c>
      <c r="K27" s="75">
        <f t="shared" si="11"/>
        <v>2554.4790000000003</v>
      </c>
      <c r="L27" s="75">
        <f t="shared" si="11"/>
        <v>2572.989</v>
      </c>
      <c r="M27" s="75">
        <f t="shared" si="11"/>
        <v>2572.989</v>
      </c>
      <c r="N27" s="75">
        <f t="shared" si="11"/>
        <v>2535.9690000000001</v>
      </c>
      <c r="O27" s="75">
        <f t="shared" si="11"/>
        <v>2572.989</v>
      </c>
      <c r="P27" s="76">
        <f t="shared" si="11"/>
        <v>30764.808000000001</v>
      </c>
    </row>
    <row r="28" spans="1:16" ht="15" thickBot="1" x14ac:dyDescent="0.35">
      <c r="B28" s="93" t="s">
        <v>38</v>
      </c>
      <c r="C28" s="94"/>
      <c r="D28" s="83">
        <f t="shared" ref="D28:P28" si="12">D27/D10*100</f>
        <v>170.29860000000002</v>
      </c>
      <c r="E28" s="73">
        <f t="shared" si="12"/>
        <v>171.5326</v>
      </c>
      <c r="F28" s="73">
        <f t="shared" si="12"/>
        <v>170.29860000000002</v>
      </c>
      <c r="G28" s="73">
        <f t="shared" si="12"/>
        <v>171.5326</v>
      </c>
      <c r="H28" s="73">
        <f t="shared" si="12"/>
        <v>171.5326</v>
      </c>
      <c r="I28" s="73">
        <f t="shared" si="12"/>
        <v>170.29860000000002</v>
      </c>
      <c r="J28" s="73">
        <f t="shared" si="12"/>
        <v>171.5326</v>
      </c>
      <c r="K28" s="73">
        <f t="shared" si="12"/>
        <v>170.29860000000002</v>
      </c>
      <c r="L28" s="73">
        <f t="shared" si="12"/>
        <v>171.5326</v>
      </c>
      <c r="M28" s="73">
        <f t="shared" si="12"/>
        <v>171.5326</v>
      </c>
      <c r="N28" s="73">
        <f t="shared" si="12"/>
        <v>169.06460000000001</v>
      </c>
      <c r="O28" s="73">
        <f t="shared" si="12"/>
        <v>171.5326</v>
      </c>
      <c r="P28" s="74">
        <f t="shared" si="12"/>
        <v>170.91560000000001</v>
      </c>
    </row>
  </sheetData>
  <sheetProtection algorithmName="SHA-512" hashValue="Z3J/DZuDQfJ4r4t7/X3zkg51vuJzTALwXpbntmkBS6D8HaoIBeYbQtAahg6Og9Yb7i2R94ITfsJEWL2MF376ig==" saltValue="0Hp8+9fmapdAVvOeAtXnRA==" spinCount="100000" sheet="1" formatCells="0" formatColumns="0" formatRows="0"/>
  <protectedRanges>
    <protectedRange sqref="C2:C3" name="Range2"/>
    <protectedRange sqref="D10:O10" name="Range3"/>
  </protectedRanges>
  <mergeCells count="4">
    <mergeCell ref="F2:G2"/>
    <mergeCell ref="F3:G3"/>
    <mergeCell ref="F4:G4"/>
    <mergeCell ref="F5:G5"/>
  </mergeCells>
  <pageMargins left="0.7" right="0.7" top="0.75" bottom="0.75" header="0.3" footer="0.3"/>
  <pageSetup scale="59" orientation="landscape" r:id="rId1"/>
  <ignoredErrors>
    <ignoredError sqref="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zoomScale="77" workbookViewId="0">
      <selection activeCell="H23" sqref="H23"/>
    </sheetView>
  </sheetViews>
  <sheetFormatPr defaultColWidth="8.77734375" defaultRowHeight="14.4" x14ac:dyDescent="0.3"/>
  <cols>
    <col min="1" max="1" width="8.77734375" style="39"/>
    <col min="2" max="2" width="26.77734375" style="39" customWidth="1"/>
    <col min="3" max="4" width="21.33203125" style="39" customWidth="1"/>
    <col min="5" max="5" width="20.6640625" style="39" customWidth="1"/>
    <col min="6" max="6" width="13.5546875" style="39" customWidth="1"/>
    <col min="7" max="16384" width="8.77734375" style="39"/>
  </cols>
  <sheetData>
    <row r="1" spans="2:6" ht="15" thickBot="1" x14ac:dyDescent="0.35"/>
    <row r="2" spans="2:6" ht="15" thickBot="1" x14ac:dyDescent="0.35">
      <c r="B2" s="264" t="str">
        <f>'Current tariff'!C3</f>
        <v>Homepower</v>
      </c>
      <c r="E2" s="102" t="s">
        <v>106</v>
      </c>
      <c r="F2" s="195">
        <f>'Current tariff'!P12/12</f>
        <v>1500</v>
      </c>
    </row>
    <row r="3" spans="2:6" ht="14.55" customHeight="1" thickBot="1" x14ac:dyDescent="0.35">
      <c r="B3" s="284" t="s">
        <v>28</v>
      </c>
      <c r="C3" s="285" t="str">
        <f>'Current tariff'!B8</f>
        <v>Homepower1 Current</v>
      </c>
      <c r="D3" s="285" t="str">
        <f>'Revised tariff'!B7</f>
        <v>Homepower1 Revised</v>
      </c>
      <c r="E3" s="286" t="s">
        <v>134</v>
      </c>
      <c r="F3" s="287" t="s">
        <v>29</v>
      </c>
    </row>
    <row r="4" spans="2:6" x14ac:dyDescent="0.3">
      <c r="B4" s="274"/>
      <c r="C4" s="275"/>
      <c r="D4" s="275"/>
      <c r="E4" s="275"/>
      <c r="F4" s="276"/>
    </row>
    <row r="5" spans="2:6" x14ac:dyDescent="0.3">
      <c r="B5" s="277" t="str">
        <f>'Current tariff'!B25</f>
        <v>Energy charge</v>
      </c>
      <c r="C5" s="265">
        <f>'Current tariff'!P25</f>
        <v>0</v>
      </c>
      <c r="D5" s="265">
        <f>'Revised tariff'!P21</f>
        <v>21169.800000000003</v>
      </c>
      <c r="E5" s="265">
        <f>D5-C5</f>
        <v>21169.800000000003</v>
      </c>
      <c r="F5" s="278"/>
    </row>
    <row r="6" spans="2:6" x14ac:dyDescent="0.3">
      <c r="B6" s="277" t="str">
        <f>'Current tariff'!B26</f>
        <v>Energy charge block 1</v>
      </c>
      <c r="C6" s="265">
        <f>'Current tariff'!P26</f>
        <v>9635.760000000002</v>
      </c>
      <c r="D6" s="265">
        <v>0</v>
      </c>
      <c r="E6" s="265">
        <f t="shared" ref="E6:E13" si="0">D6-C6</f>
        <v>-9635.760000000002</v>
      </c>
      <c r="F6" s="278"/>
    </row>
    <row r="7" spans="2:6" ht="15" thickBot="1" x14ac:dyDescent="0.35">
      <c r="B7" s="279" t="str">
        <f>'Current tariff'!B27</f>
        <v>Energy charge block 2</v>
      </c>
      <c r="C7" s="266">
        <f>'Current tariff'!P27</f>
        <v>22822.560000000009</v>
      </c>
      <c r="D7" s="266">
        <v>0</v>
      </c>
      <c r="E7" s="266">
        <f t="shared" si="0"/>
        <v>-22822.560000000009</v>
      </c>
      <c r="F7" s="280"/>
    </row>
    <row r="8" spans="2:6" ht="15" thickBot="1" x14ac:dyDescent="0.35">
      <c r="B8" s="268" t="s">
        <v>85</v>
      </c>
      <c r="C8" s="269">
        <f>SUM(C5:C7)</f>
        <v>32458.320000000011</v>
      </c>
      <c r="D8" s="269">
        <f>SUM(D5:D7)</f>
        <v>21169.800000000003</v>
      </c>
      <c r="E8" s="269">
        <f t="shared" si="0"/>
        <v>-11288.520000000008</v>
      </c>
      <c r="F8" s="270"/>
    </row>
    <row r="9" spans="2:6" x14ac:dyDescent="0.3">
      <c r="B9" s="281" t="s">
        <v>80</v>
      </c>
      <c r="C9" s="267">
        <v>0</v>
      </c>
      <c r="D9" s="267">
        <f>'Revised tariff'!P26</f>
        <v>0</v>
      </c>
      <c r="E9" s="267">
        <f t="shared" si="0"/>
        <v>0</v>
      </c>
      <c r="F9" s="282"/>
    </row>
    <row r="10" spans="2:6" x14ac:dyDescent="0.3">
      <c r="B10" s="277" t="str">
        <f>'Current tariff'!B29</f>
        <v>Network capacity charge</v>
      </c>
      <c r="C10" s="265">
        <f>'Current tariff'!P29</f>
        <v>2097.1800000000007</v>
      </c>
      <c r="D10" s="265">
        <f>'Revised tariff'!P22</f>
        <v>5028.8399999999992</v>
      </c>
      <c r="E10" s="265">
        <f t="shared" si="0"/>
        <v>2931.6599999999985</v>
      </c>
      <c r="F10" s="278"/>
    </row>
    <row r="11" spans="2:6" x14ac:dyDescent="0.3">
      <c r="B11" s="277" t="str">
        <f>'Current tariff'!B30</f>
        <v>Network demand charge</v>
      </c>
      <c r="C11" s="265">
        <f>'Current tariff'!P30</f>
        <v>0</v>
      </c>
      <c r="D11" s="265">
        <f>'Revised tariff'!P23</f>
        <v>2781</v>
      </c>
      <c r="E11" s="265">
        <f t="shared" si="0"/>
        <v>2781</v>
      </c>
      <c r="F11" s="278"/>
    </row>
    <row r="12" spans="2:6" x14ac:dyDescent="0.3">
      <c r="B12" s="277" t="str">
        <f>'Current tariff'!B31</f>
        <v>Ancillary service charge</v>
      </c>
      <c r="C12" s="265">
        <f>'Current tariff'!P31</f>
        <v>0</v>
      </c>
      <c r="D12" s="265">
        <f>'Revised tariff'!P24</f>
        <v>39.347999999999999</v>
      </c>
      <c r="E12" s="265">
        <f t="shared" si="0"/>
        <v>39.347999999999999</v>
      </c>
      <c r="F12" s="278"/>
    </row>
    <row r="13" spans="2:6" ht="15" thickBot="1" x14ac:dyDescent="0.35">
      <c r="B13" s="279" t="str">
        <f>'Current tariff'!B32</f>
        <v>Service and administration charge</v>
      </c>
      <c r="C13" s="266">
        <f>'Current tariff'!P32</f>
        <v>0</v>
      </c>
      <c r="D13" s="266">
        <f>'Revised tariff'!P25</f>
        <v>1745.8199999999995</v>
      </c>
      <c r="E13" s="266">
        <f t="shared" si="0"/>
        <v>1745.8199999999995</v>
      </c>
      <c r="F13" s="280"/>
    </row>
    <row r="14" spans="2:6" ht="15" thickBot="1" x14ac:dyDescent="0.35">
      <c r="B14" s="268" t="str">
        <f>'Current tariff'!B33</f>
        <v>Total</v>
      </c>
      <c r="C14" s="269">
        <f>SUM(C8:C13)</f>
        <v>34555.500000000015</v>
      </c>
      <c r="D14" s="269">
        <f>SUM(D8:D13)</f>
        <v>30764.808000000005</v>
      </c>
      <c r="E14" s="269">
        <f>SUM(E8:E13)</f>
        <v>-3790.69200000001</v>
      </c>
      <c r="F14" s="283">
        <f>E14/C14</f>
        <v>-0.10969865867951581</v>
      </c>
    </row>
    <row r="15" spans="2:6" ht="15" thickBot="1" x14ac:dyDescent="0.35">
      <c r="B15" s="271" t="s">
        <v>38</v>
      </c>
      <c r="C15" s="272">
        <f>C14/'Current tariff'!$P$12*100</f>
        <v>191.97500000000008</v>
      </c>
      <c r="D15" s="272">
        <f>D14/'Revised tariff'!P10*100</f>
        <v>170.91560000000004</v>
      </c>
      <c r="E15" s="273">
        <f>E14/'Current tariff'!$P$12*100</f>
        <v>-21.059400000000057</v>
      </c>
      <c r="F15" s="45"/>
    </row>
  </sheetData>
  <sheetProtection formatCells="0" formatColumns="0" formatRows="0" selectLockedCells="1"/>
  <pageMargins left="0.7" right="0.7" top="0.75" bottom="0.75" header="0.3" footer="0.3"/>
  <pageSetup paperSize="9" scale="6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zoomScale="90" zoomScaleNormal="90" workbookViewId="0">
      <selection activeCell="C2" sqref="C2"/>
    </sheetView>
  </sheetViews>
  <sheetFormatPr defaultColWidth="8.77734375" defaultRowHeight="14.4" x14ac:dyDescent="0.3"/>
  <cols>
    <col min="1" max="1" width="8.77734375" style="39"/>
    <col min="2" max="2" width="21.5546875" style="39" customWidth="1"/>
    <col min="3" max="18" width="11.5546875" style="39" customWidth="1"/>
    <col min="19" max="16384" width="8.77734375" style="39"/>
  </cols>
  <sheetData>
    <row r="1" spans="1:19" x14ac:dyDescent="0.3">
      <c r="A1" s="41"/>
      <c r="B1" s="328" t="s">
        <v>37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19" x14ac:dyDescent="0.3">
      <c r="A2" s="41"/>
      <c r="B2" s="41"/>
      <c r="C2" s="223">
        <f>IF('Current tariff'!C3="Homelight 20A",350,IF('Current tariff'!C3="Homelight 60A",600,IF( 'Current tariff'!C3="Homepower",600, 0)))</f>
        <v>600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x14ac:dyDescent="0.3">
      <c r="A3" s="41"/>
      <c r="B3" s="42" t="s">
        <v>31</v>
      </c>
      <c r="C3" s="42">
        <v>150</v>
      </c>
      <c r="D3" s="42">
        <v>350</v>
      </c>
      <c r="E3" s="42">
        <v>600</v>
      </c>
      <c r="F3" s="42">
        <v>800</v>
      </c>
      <c r="G3" s="42">
        <v>1200</v>
      </c>
      <c r="H3" s="42">
        <v>2000</v>
      </c>
      <c r="I3" s="42">
        <v>3000</v>
      </c>
      <c r="J3" s="42">
        <v>4000</v>
      </c>
      <c r="K3" s="42">
        <v>5000</v>
      </c>
      <c r="L3" s="42">
        <v>6000</v>
      </c>
      <c r="M3" s="42">
        <v>7000</v>
      </c>
      <c r="N3" s="42">
        <v>8000</v>
      </c>
      <c r="O3" s="42">
        <v>9000</v>
      </c>
      <c r="P3" s="42">
        <v>10000</v>
      </c>
      <c r="Q3" s="42">
        <v>11000</v>
      </c>
      <c r="R3" s="42">
        <v>12000</v>
      </c>
      <c r="S3" s="41"/>
    </row>
    <row r="4" spans="1:19" x14ac:dyDescent="0.3">
      <c r="A4" s="41"/>
      <c r="B4" s="41" t="str">
        <f>'Current tariff'!B8</f>
        <v>Homepower1 Current</v>
      </c>
      <c r="C4" s="43">
        <f>IF(C3&lt;=$C$2,(C3*('Current tariff'!$D$15+'Current tariff'!$D$16+'Current tariff'!$D$19+'Current tariff'!$D$20)/100),IF(C3&gt;$C$2,($C$2*('Current tariff'!$D$15+'Current tariff'!$D$16+'Current tariff'!$D$19+'Current tariff'!$D$20)/100)+((C3-$C$2)*('Current tariff'!$D$15+'Current tariff'!$D$17+'Current tariff'!$D$19+'Current tariff'!$D$20)/100))+(('Current tariff'!$D$18+'Current tariff'!$D$21)*365/12))</f>
        <v>200.74500000000003</v>
      </c>
      <c r="D4" s="43">
        <f>IF(D3&lt;=$C$2,(D3*('Current tariff'!$D$15+'Current tariff'!$D$16+'Current tariff'!$D$19+'Current tariff'!$D$20)/100),IF(D3&gt;$C$2,($C$2*('Current tariff'!$D$15+'Current tariff'!$D$16+'Current tariff'!$D$19+'Current tariff'!$D$20)/100)+((D3-$C$2)*('Current tariff'!$D$15+'Current tariff'!$D$17+'Current tariff'!$D$19+'Current tariff'!$D$20)/100))+(('Current tariff'!$D$18+'Current tariff'!$D$21)*365/12))</f>
        <v>468.40500000000009</v>
      </c>
      <c r="E4" s="43">
        <f>IF(E3&lt;=$C$2,(E3*('Current tariff'!$D$15+'Current tariff'!$D$16+'Current tariff'!$D$19+'Current tariff'!$D$20)/100),IF(E3&gt;$C$2,($C$2*('Current tariff'!$D$15+'Current tariff'!$D$16+'Current tariff'!$D$19+'Current tariff'!$D$20)/100)+((E3-$C$2)*('Current tariff'!$D$15+'Current tariff'!$D$17+'Current tariff'!$D$19+'Current tariff'!$D$20)/100))+(('Current tariff'!$D$18+'Current tariff'!$D$21)*365/12))</f>
        <v>802.98000000000013</v>
      </c>
      <c r="F4" s="43">
        <f>IF(F3&lt;=$C$2,(F3*('Current tariff'!$D$15+'Current tariff'!$D$16+'Current tariff'!$D$19+'Current tariff'!$D$20)/100),IF(F3&gt;$C$2,($C$2*('Current tariff'!$D$15+'Current tariff'!$D$16+'Current tariff'!$D$19+'Current tariff'!$D$20)/100)+((F3-$C$2)*('Current tariff'!$D$15+'Current tariff'!$D$17+'Current tariff'!$D$19+'Current tariff'!$D$20)/100))+(('Current tariff'!$D$18+'Current tariff'!$D$21)*365/12))</f>
        <v>1399.9075000000003</v>
      </c>
      <c r="G4" s="43">
        <f>IF(G3&lt;=$C$2,(G3*('Current tariff'!$D$15+'Current tariff'!$D$16+'Current tariff'!$D$19+'Current tariff'!$D$20)/100),IF(G3&gt;$C$2,($C$2*('Current tariff'!$D$15+'Current tariff'!$D$16+'Current tariff'!$D$19+'Current tariff'!$D$20)/100)+((G3-$C$2)*('Current tariff'!$D$15+'Current tariff'!$D$17+'Current tariff'!$D$19+'Current tariff'!$D$20)/100))+(('Current tariff'!$D$18+'Current tariff'!$D$21)*365/12))</f>
        <v>2245.1875</v>
      </c>
      <c r="H4" s="43">
        <f>IF(H3&lt;=$C$2,(H3*('Current tariff'!$D$15+'Current tariff'!$D$16+'Current tariff'!$D$19+'Current tariff'!$D$20)/100),IF(H3&gt;$C$2,($C$2*('Current tariff'!$D$15+'Current tariff'!$D$16+'Current tariff'!$D$19+'Current tariff'!$D$20)/100)+((H3-$C$2)*('Current tariff'!$D$15+'Current tariff'!$D$17+'Current tariff'!$D$19+'Current tariff'!$D$20)/100))+(('Current tariff'!$D$18+'Current tariff'!$D$21)*365/12))</f>
        <v>3935.7474999999999</v>
      </c>
      <c r="I4" s="43">
        <f>IF(I3&lt;=$C$2,(I3*('Current tariff'!$D$15+'Current tariff'!$D$16+'Current tariff'!$D$19+'Current tariff'!$D$20)/100),IF(I3&gt;$C$2,($C$2*('Current tariff'!$D$15+'Current tariff'!$D$16+'Current tariff'!$D$19+'Current tariff'!$D$20)/100)+((I3-$C$2)*('Current tariff'!$D$15+'Current tariff'!$D$17+'Current tariff'!$D$19+'Current tariff'!$D$20)/100))+(('Current tariff'!$D$18+'Current tariff'!$D$21)*365/12))</f>
        <v>6048.9475000000011</v>
      </c>
      <c r="J4" s="43">
        <f>IF(J3&lt;=$C$2,(J3*('Current tariff'!$D$15+'Current tariff'!$D$16+'Current tariff'!$D$19+'Current tariff'!$D$20)/100),IF(J3&gt;$C$2,($C$2*('Current tariff'!$D$15+'Current tariff'!$D$16+'Current tariff'!$D$19+'Current tariff'!$D$20)/100)+((J3-$C$2)*('Current tariff'!$D$15+'Current tariff'!$D$17+'Current tariff'!$D$19+'Current tariff'!$D$20)/100))+(('Current tariff'!$D$18+'Current tariff'!$D$21)*365/12))</f>
        <v>8162.1475000000009</v>
      </c>
      <c r="K4" s="43">
        <f>IF(K3&lt;=$C$2,(K3*('Current tariff'!$D$15+'Current tariff'!$D$16+'Current tariff'!$D$19+'Current tariff'!$D$20)/100),IF(K3&gt;$C$2,($C$2*('Current tariff'!$D$15+'Current tariff'!$D$16+'Current tariff'!$D$19+'Current tariff'!$D$20)/100)+((K3-$C$2)*('Current tariff'!$D$15+'Current tariff'!$D$17+'Current tariff'!$D$19+'Current tariff'!$D$20)/100))+(('Current tariff'!$D$18+'Current tariff'!$D$21)*365/12))</f>
        <v>10275.3475</v>
      </c>
      <c r="L4" s="43">
        <f>IF(L3&lt;=$C$2,(L3*('Current tariff'!$D$15+'Current tariff'!$D$16+'Current tariff'!$D$19+'Current tariff'!$D$20)/100),IF(L3&gt;$C$2,($C$2*('Current tariff'!$D$15+'Current tariff'!$D$16+'Current tariff'!$D$19+'Current tariff'!$D$20)/100)+((L3-$C$2)*('Current tariff'!$D$15+'Current tariff'!$D$17+'Current tariff'!$D$19+'Current tariff'!$D$20)/100))+(('Current tariff'!$D$18+'Current tariff'!$D$21)*365/12))</f>
        <v>12388.547500000001</v>
      </c>
      <c r="M4" s="43">
        <f>IF(M3&lt;=$C$2,(M3*('Current tariff'!$D$15+'Current tariff'!$D$16+'Current tariff'!$D$19+'Current tariff'!$D$20)/100),IF(M3&gt;$C$2,($C$2*('Current tariff'!$D$15+'Current tariff'!$D$16+'Current tariff'!$D$19+'Current tariff'!$D$20)/100)+((M3-$C$2)*('Current tariff'!$D$15+'Current tariff'!$D$17+'Current tariff'!$D$19+'Current tariff'!$D$20)/100))+(('Current tariff'!$D$18+'Current tariff'!$D$21)*365/12))</f>
        <v>14501.747499999999</v>
      </c>
      <c r="N4" s="43">
        <f>IF(N3&lt;=$C$2,(N3*('Current tariff'!$D$15+'Current tariff'!$D$16+'Current tariff'!$D$19+'Current tariff'!$D$20)/100),IF(N3&gt;$C$2,($C$2*('Current tariff'!$D$15+'Current tariff'!$D$16+'Current tariff'!$D$19+'Current tariff'!$D$20)/100)+((N3-$C$2)*('Current tariff'!$D$15+'Current tariff'!$D$17+'Current tariff'!$D$19+'Current tariff'!$D$20)/100))+(('Current tariff'!$D$18+'Current tariff'!$D$21)*365/12))</f>
        <v>16614.947499999998</v>
      </c>
      <c r="O4" s="43">
        <f>IF(O3&lt;=$C$2,(O3*('Current tariff'!$D$15+'Current tariff'!$D$16+'Current tariff'!$D$19+'Current tariff'!$D$20)/100),IF(O3&gt;$C$2,($C$2*('Current tariff'!$D$15+'Current tariff'!$D$16+'Current tariff'!$D$19+'Current tariff'!$D$20)/100)+((O3-$C$2)*('Current tariff'!$D$15+'Current tariff'!$D$17+'Current tariff'!$D$19+'Current tariff'!$D$20)/100))+(('Current tariff'!$D$18+'Current tariff'!$D$21)*365/12))</f>
        <v>18728.147499999999</v>
      </c>
      <c r="P4" s="43">
        <f>IF(P3&lt;=$C$2,(P3*('Current tariff'!$D$15+'Current tariff'!$D$16+'Current tariff'!$D$19+'Current tariff'!$D$20)/100),IF(P3&gt;$C$2,($C$2*('Current tariff'!$D$15+'Current tariff'!$D$16+'Current tariff'!$D$19+'Current tariff'!$D$20)/100)+((P3-$C$2)*('Current tariff'!$D$15+'Current tariff'!$D$17+'Current tariff'!$D$19+'Current tariff'!$D$20)/100))+(('Current tariff'!$D$18+'Current tariff'!$D$21)*365/12))</f>
        <v>20841.3475</v>
      </c>
      <c r="Q4" s="43">
        <f>IF(Q3&lt;=$C$2,(Q3*('Current tariff'!$D$15+'Current tariff'!$D$16+'Current tariff'!$D$19+'Current tariff'!$D$20)/100),IF(Q3&gt;$C$2,($C$2*('Current tariff'!$D$15+'Current tariff'!$D$16+'Current tariff'!$D$19+'Current tariff'!$D$20)/100)+((Q3-$C$2)*('Current tariff'!$D$15+'Current tariff'!$D$17+'Current tariff'!$D$19+'Current tariff'!$D$20)/100))+(('Current tariff'!$D$18+'Current tariff'!$D$21)*365/12))</f>
        <v>22954.547499999997</v>
      </c>
      <c r="R4" s="43">
        <f>IF(R3&lt;=$C$2,(R3*('Current tariff'!$D$15+'Current tariff'!$D$16+'Current tariff'!$D$19+'Current tariff'!$D$20)/100),IF(R3&gt;$C$2,($C$2*('Current tariff'!$D$15+'Current tariff'!$D$16+'Current tariff'!$D$19+'Current tariff'!$D$20)/100)+((R3-$C$2)*('Current tariff'!$D$15+'Current tariff'!$D$17+'Current tariff'!$D$19+'Current tariff'!$D$20)/100))+(('Current tariff'!$D$18+'Current tariff'!$D$21)*365/12))</f>
        <v>25067.747499999998</v>
      </c>
      <c r="S4" s="41"/>
    </row>
    <row r="5" spans="1:19" x14ac:dyDescent="0.3">
      <c r="A5" s="103"/>
      <c r="B5" s="103" t="str">
        <f>'Revised tariff'!B7</f>
        <v>Homepower1 Revised</v>
      </c>
      <c r="C5" s="104">
        <f>(C3*('Revised tariff'!$D$13+'Revised tariff'!$D$15+'Revised tariff'!$D$16+'Revised tariff'!$D$18)/100)+('Revised tariff'!$D$14+'Revised tariff'!$D$17)*365/12</f>
        <v>762.93039999999996</v>
      </c>
      <c r="D5" s="104">
        <f>(D3*('Revised tariff'!$D$13+'Revised tariff'!$D$15+'Revised tariff'!$D$16+'Revised tariff'!$D$18)/100)+('Revised tariff'!$D$14+'Revised tariff'!$D$17)*365/12</f>
        <v>1029.4875999999999</v>
      </c>
      <c r="E5" s="104">
        <f>(E3*('Revised tariff'!$D$13+'Revised tariff'!$D$15+'Revised tariff'!$D$16+'Revised tariff'!$D$18)/100)+('Revised tariff'!$D$14+'Revised tariff'!$D$17)*365/12</f>
        <v>1362.6840999999999</v>
      </c>
      <c r="F5" s="104">
        <f>(F3*('Revised tariff'!$D$13+'Revised tariff'!$D$15+'Revised tariff'!$D$16+'Revised tariff'!$D$18)/100)+('Revised tariff'!$D$14+'Revised tariff'!$D$17)*365/12</f>
        <v>1629.2413000000001</v>
      </c>
      <c r="G5" s="104">
        <f>(G3*('Revised tariff'!$D$13+'Revised tariff'!$D$15+'Revised tariff'!$D$16+'Revised tariff'!$D$18)/100)+('Revised tariff'!$D$14+'Revised tariff'!$D$17)*365/12</f>
        <v>2162.3557000000001</v>
      </c>
      <c r="H5" s="104">
        <f>(H3*('Revised tariff'!$D$13+'Revised tariff'!$D$15+'Revised tariff'!$D$16+'Revised tariff'!$D$18)/100)+('Revised tariff'!$D$14+'Revised tariff'!$D$17)*365/12</f>
        <v>3228.5844999999999</v>
      </c>
      <c r="I5" s="104">
        <f>(I3*('Revised tariff'!$D$13+'Revised tariff'!$D$15+'Revised tariff'!$D$16+'Revised tariff'!$D$18)/100)+('Revised tariff'!$D$14+'Revised tariff'!$D$17)*365/12</f>
        <v>4561.3705000000009</v>
      </c>
      <c r="J5" s="104">
        <f>(J3*('Revised tariff'!$D$13+'Revised tariff'!$D$15+'Revised tariff'!$D$16+'Revised tariff'!$D$18)/100)+('Revised tariff'!$D$14+'Revised tariff'!$D$17)*365/12</f>
        <v>5894.1565000000001</v>
      </c>
      <c r="K5" s="104">
        <f>(K3*('Revised tariff'!$D$13+'Revised tariff'!$D$15+'Revised tariff'!$D$16+'Revised tariff'!$D$18)/100)+('Revised tariff'!$D$14+'Revised tariff'!$D$17)*365/12</f>
        <v>7226.9425000000001</v>
      </c>
      <c r="L5" s="104">
        <f>(L3*('Revised tariff'!$D$13+'Revised tariff'!$D$15+'Revised tariff'!$D$16+'Revised tariff'!$D$18)/100)+('Revised tariff'!$D$14+'Revised tariff'!$D$17)*365/12</f>
        <v>8559.7285000000011</v>
      </c>
      <c r="M5" s="104">
        <f>(M3*('Revised tariff'!$D$13+'Revised tariff'!$D$15+'Revised tariff'!$D$16+'Revised tariff'!$D$18)/100)+('Revised tariff'!$D$14+'Revised tariff'!$D$17)*365/12</f>
        <v>9892.5145000000011</v>
      </c>
      <c r="N5" s="104">
        <f>(N3*('Revised tariff'!$D$13+'Revised tariff'!$D$15+'Revised tariff'!$D$16+'Revised tariff'!$D$18)/100)+('Revised tariff'!$D$14+'Revised tariff'!$D$17)*365/12</f>
        <v>11225.300500000001</v>
      </c>
      <c r="O5" s="104">
        <f>(O3*('Revised tariff'!$D$13+'Revised tariff'!$D$15+'Revised tariff'!$D$16+'Revised tariff'!$D$18)/100)+('Revised tariff'!$D$14+'Revised tariff'!$D$17)*365/12</f>
        <v>12558.086500000001</v>
      </c>
      <c r="P5" s="104">
        <f>(P3*('Revised tariff'!$D$13+'Revised tariff'!$D$15+'Revised tariff'!$D$16+'Revised tariff'!$D$18)/100)+('Revised tariff'!$D$14+'Revised tariff'!$D$17)*365/12</f>
        <v>13890.872500000001</v>
      </c>
      <c r="Q5" s="104">
        <f>(Q3*('Revised tariff'!$D$13+'Revised tariff'!$D$15+'Revised tariff'!$D$16+'Revised tariff'!$D$18)/100)+('Revised tariff'!$D$14+'Revised tariff'!$D$17)*365/12</f>
        <v>15223.658500000001</v>
      </c>
      <c r="R5" s="104">
        <f>(R3*('Revised tariff'!$D$13+'Revised tariff'!$D$15+'Revised tariff'!$D$16+'Revised tariff'!$D$18)/100)+('Revised tariff'!$D$14+'Revised tariff'!$D$17)*365/12</f>
        <v>16556.444500000001</v>
      </c>
      <c r="S5" s="41"/>
    </row>
    <row r="6" spans="1:19" x14ac:dyDescent="0.3">
      <c r="B6" s="39" t="s">
        <v>30</v>
      </c>
      <c r="C6" s="40">
        <f>C5-C4</f>
        <v>562.18539999999996</v>
      </c>
      <c r="D6" s="40">
        <f t="shared" ref="D6:R6" si="0">D5-D4</f>
        <v>561.08259999999984</v>
      </c>
      <c r="E6" s="40">
        <f t="shared" si="0"/>
        <v>559.70409999999981</v>
      </c>
      <c r="F6" s="40">
        <f t="shared" si="0"/>
        <v>229.33379999999988</v>
      </c>
      <c r="G6" s="40">
        <f t="shared" si="0"/>
        <v>-82.83179999999993</v>
      </c>
      <c r="H6" s="40">
        <f t="shared" si="0"/>
        <v>-707.16300000000001</v>
      </c>
      <c r="I6" s="40">
        <f t="shared" si="0"/>
        <v>-1487.5770000000002</v>
      </c>
      <c r="J6" s="40">
        <f t="shared" si="0"/>
        <v>-2267.9910000000009</v>
      </c>
      <c r="K6" s="40">
        <f t="shared" si="0"/>
        <v>-3048.4049999999997</v>
      </c>
      <c r="L6" s="40">
        <f t="shared" si="0"/>
        <v>-3828.8189999999995</v>
      </c>
      <c r="M6" s="40">
        <f t="shared" si="0"/>
        <v>-4609.2329999999984</v>
      </c>
      <c r="N6" s="40">
        <f t="shared" si="0"/>
        <v>-5389.6469999999972</v>
      </c>
      <c r="O6" s="40">
        <f t="shared" si="0"/>
        <v>-6170.0609999999979</v>
      </c>
      <c r="P6" s="40">
        <f t="shared" si="0"/>
        <v>-6950.4749999999985</v>
      </c>
      <c r="Q6" s="40">
        <f t="shared" si="0"/>
        <v>-7730.8889999999956</v>
      </c>
      <c r="R6" s="40">
        <f t="shared" si="0"/>
        <v>-8511.3029999999962</v>
      </c>
    </row>
  </sheetData>
  <sheetProtection algorithmName="SHA-512" hashValue="KQtp42nQgiK8ZUNVKJMWBPooW1omtbxGF04Ku/swARQeoJzBlA5ahB/lXaruIqV6hF78Hew0neGo0PA+IksYkA==" saltValue="aE3xO9xz6jYUkKaF3zQafQ==" spinCount="100000" sheet="1" selectLockedCells="1" selectUnlockedCells="1"/>
  <protectedRanges>
    <protectedRange algorithmName="SHA-512" hashValue="mHIG4XptLIQd+RKLiX26de4n3wi9XpyBi9r6pEwS131UvnKkKCgCy8QDMUJoABV/93foOFaeNHjsEuRThjjx5A==" saltValue="p3OORyqDLnKBoIwvt9uybw==" spinCount="100000" sqref="B3:R3" name="Range1"/>
  </protectedRanges>
  <mergeCells count="1">
    <mergeCell ref="B1:R1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  <ignoredErrors>
    <ignoredError sqref="B6:R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="70" zoomScaleNormal="70" workbookViewId="0">
      <selection activeCell="Y17" sqref="Y17"/>
    </sheetView>
  </sheetViews>
  <sheetFormatPr defaultRowHeight="14.4" x14ac:dyDescent="0.3"/>
  <cols>
    <col min="1" max="1" width="17.33203125" customWidth="1"/>
    <col min="2" max="2" width="19.88671875" customWidth="1"/>
    <col min="3" max="3" width="11.77734375" customWidth="1"/>
    <col min="4" max="8" width="12.21875" customWidth="1"/>
    <col min="9" max="9" width="12.21875" style="247" hidden="1" customWidth="1"/>
    <col min="10" max="10" width="18.88671875" style="247" hidden="1" customWidth="1"/>
    <col min="11" max="11" width="8.77734375" style="247" hidden="1" customWidth="1"/>
    <col min="12" max="12" width="8.88671875" style="247" hidden="1" customWidth="1"/>
    <col min="13" max="20" width="8.77734375" style="247" hidden="1" customWidth="1"/>
    <col min="21" max="21" width="14.5546875" style="247" hidden="1" customWidth="1"/>
    <col min="22" max="22" width="11.109375" style="247" hidden="1" customWidth="1"/>
    <col min="23" max="23" width="8.77734375" style="247" hidden="1" customWidth="1"/>
    <col min="24" max="24" width="8.77734375" style="247"/>
    <col min="25" max="25" width="13.21875" style="247" customWidth="1"/>
  </cols>
  <sheetData>
    <row r="1" spans="1:23" ht="16.2" thickBot="1" x14ac:dyDescent="0.35">
      <c r="A1" s="329" t="s">
        <v>108</v>
      </c>
      <c r="B1" s="330"/>
      <c r="C1" s="330"/>
      <c r="D1" s="330"/>
      <c r="E1" s="330"/>
      <c r="F1" s="330"/>
      <c r="G1" s="331"/>
      <c r="I1" s="296">
        <v>1</v>
      </c>
      <c r="J1" s="297" t="str">
        <f>V1</f>
        <v>Homepower</v>
      </c>
      <c r="K1" s="298" t="s">
        <v>81</v>
      </c>
      <c r="L1" s="298" t="s">
        <v>82</v>
      </c>
      <c r="M1" s="298" t="s">
        <v>83</v>
      </c>
      <c r="N1" s="298" t="s">
        <v>78</v>
      </c>
      <c r="O1" s="298" t="s">
        <v>79</v>
      </c>
      <c r="P1" s="299" t="s">
        <v>84</v>
      </c>
      <c r="Q1" s="300"/>
      <c r="R1" s="300"/>
      <c r="S1" s="300"/>
      <c r="T1" s="300"/>
      <c r="U1" s="300"/>
      <c r="V1" s="301" t="str">
        <f>'Current tariff'!C3</f>
        <v>Homepower</v>
      </c>
      <c r="W1" s="300"/>
    </row>
    <row r="2" spans="1:23" ht="16.2" thickBot="1" x14ac:dyDescent="0.35">
      <c r="A2" s="21"/>
      <c r="B2" s="22"/>
      <c r="C2" s="22"/>
      <c r="D2" s="22"/>
      <c r="E2" s="22"/>
      <c r="F2" s="22"/>
      <c r="G2" s="263"/>
      <c r="I2" s="302">
        <v>2</v>
      </c>
      <c r="J2" s="303" t="s">
        <v>25</v>
      </c>
      <c r="K2" s="303">
        <f>INDEX(B20:B23,MATCH($W$2,$A$20:$A$23,0))</f>
        <v>133.83000000000001</v>
      </c>
      <c r="L2" s="303">
        <f>INDEX(C20:C23,MATCH($W$2,$A$20:$A$23,0))</f>
        <v>211.32</v>
      </c>
      <c r="M2" s="303">
        <v>0</v>
      </c>
      <c r="N2" s="303">
        <v>0</v>
      </c>
      <c r="O2" s="303">
        <f>INDEX(E20:E23,MATCH($W$2,$A$20:$A$23,0))</f>
        <v>5.73</v>
      </c>
      <c r="P2" s="304">
        <v>0</v>
      </c>
      <c r="Q2" s="300"/>
      <c r="R2" s="300"/>
      <c r="S2" s="300"/>
      <c r="T2" s="300"/>
      <c r="U2" s="303" t="s">
        <v>129</v>
      </c>
      <c r="V2" s="301">
        <f>'Current tariff'!C4</f>
        <v>25</v>
      </c>
      <c r="W2" s="305">
        <f>'Current tariff'!C5</f>
        <v>1</v>
      </c>
    </row>
    <row r="3" spans="1:23" ht="41.4" x14ac:dyDescent="0.3">
      <c r="A3" s="49" t="s">
        <v>75</v>
      </c>
      <c r="B3" s="50" t="s">
        <v>60</v>
      </c>
      <c r="C3" s="50" t="s">
        <v>61</v>
      </c>
      <c r="D3" s="50" t="s">
        <v>62</v>
      </c>
      <c r="E3" s="50" t="s">
        <v>63</v>
      </c>
      <c r="F3" s="50" t="s">
        <v>64</v>
      </c>
      <c r="G3" s="51" t="s">
        <v>65</v>
      </c>
      <c r="I3" s="302">
        <v>3</v>
      </c>
      <c r="J3" s="303" t="s">
        <v>26</v>
      </c>
      <c r="K3" s="303">
        <f t="array" ref="K3">INDEX(B11:B14,MATCH($W$2,$A$11:$A$14,0))</f>
        <v>113.63</v>
      </c>
      <c r="L3" s="303">
        <v>0</v>
      </c>
      <c r="M3" s="303">
        <f>INDEX(C11:C14,MATCH($W$2,$A$11:$A$14,0))</f>
        <v>0.44</v>
      </c>
      <c r="N3" s="303">
        <f>INDEX(D11:D14,MATCH($W$2,$A$11:$A$14,0))</f>
        <v>28.39</v>
      </c>
      <c r="O3" s="303">
        <f>INDEX(E11:E14,MATCH($W$2,$A$11:$A$14,0))</f>
        <v>30.35</v>
      </c>
      <c r="P3" s="304">
        <f>INDEX(F11:F14,MATCH($W$2,$A$11:$A$14,0))</f>
        <v>25.2</v>
      </c>
      <c r="Q3" s="300"/>
      <c r="R3" s="300"/>
      <c r="S3" s="300"/>
      <c r="T3" s="300"/>
      <c r="U3" s="303"/>
      <c r="V3" s="303"/>
      <c r="W3" s="300"/>
    </row>
    <row r="4" spans="1:23" x14ac:dyDescent="0.3">
      <c r="A4" s="52">
        <v>1</v>
      </c>
      <c r="B4" s="37">
        <v>114.19</v>
      </c>
      <c r="C4" s="37">
        <v>0.44</v>
      </c>
      <c r="D4" s="37">
        <v>16.12</v>
      </c>
      <c r="E4" s="37">
        <v>23.15</v>
      </c>
      <c r="F4" s="37">
        <v>20</v>
      </c>
      <c r="G4" s="57">
        <v>0</v>
      </c>
      <c r="I4" s="302">
        <v>4</v>
      </c>
      <c r="J4" s="303" t="s">
        <v>75</v>
      </c>
      <c r="K4" s="303">
        <f>INDEX(B4:B7,MATCH($W$2,$A$4:$A$7,0))</f>
        <v>114.19</v>
      </c>
      <c r="L4" s="303">
        <v>0</v>
      </c>
      <c r="M4" s="303">
        <f>INDEX(C4:C7,MATCH($W$2,$A$4:$A$7,0))</f>
        <v>0.44</v>
      </c>
      <c r="N4" s="303">
        <f>INDEX(D4:D7,MATCH($W$2,$A$4:$A$7,0))</f>
        <v>16.12</v>
      </c>
      <c r="O4" s="303">
        <f>INDEX(E4:E7,MATCH($W$2,$A$4:$A$7,0))</f>
        <v>23.15</v>
      </c>
      <c r="P4" s="304">
        <f>INDEX(F4:F7,MATCH($W$2,$A$4:$A$7,0))</f>
        <v>20</v>
      </c>
      <c r="Q4" s="300"/>
      <c r="R4" s="300"/>
      <c r="S4" s="300"/>
      <c r="T4" s="300"/>
      <c r="U4" s="303">
        <v>25</v>
      </c>
      <c r="V4" s="303">
        <f>IF($V$1="Homelight 20A"," ",IF($V$1="Homelight 60A"," ",IF($V$1="Homepower Bulk"," ",U4)))</f>
        <v>25</v>
      </c>
      <c r="W4" s="303">
        <f>IF(AND($V$1="Businessrate",$V$2=25),1,IF(AND($V$1="Businessrate",$V$2=16),1,IF(AND($V$1="Landrate",V2=25),1,IF(AND($V$1="Homepower",$V$2=25),1,""))))</f>
        <v>1</v>
      </c>
    </row>
    <row r="5" spans="1:23" x14ac:dyDescent="0.3">
      <c r="A5" s="52">
        <v>2</v>
      </c>
      <c r="B5" s="37">
        <v>114.19</v>
      </c>
      <c r="C5" s="37">
        <v>0.44</v>
      </c>
      <c r="D5" s="37">
        <v>16.12</v>
      </c>
      <c r="E5" s="37">
        <v>39</v>
      </c>
      <c r="F5" s="37">
        <v>20</v>
      </c>
      <c r="G5" s="57">
        <v>0</v>
      </c>
      <c r="I5" s="302"/>
      <c r="J5" s="306" t="s">
        <v>90</v>
      </c>
      <c r="K5" s="307">
        <f>B24</f>
        <v>175.71</v>
      </c>
      <c r="L5" s="307">
        <f>C24</f>
        <v>0</v>
      </c>
      <c r="M5" s="307">
        <f>D24</f>
        <v>0</v>
      </c>
      <c r="N5" s="308">
        <f>D24</f>
        <v>0</v>
      </c>
      <c r="O5" s="307">
        <f>E24</f>
        <v>36.36</v>
      </c>
      <c r="P5" s="309">
        <f>G24</f>
        <v>0</v>
      </c>
      <c r="Q5" s="300"/>
      <c r="R5" s="300"/>
      <c r="S5" s="300"/>
      <c r="T5" s="300"/>
      <c r="U5" s="303">
        <v>50</v>
      </c>
      <c r="V5" s="303">
        <f t="shared" ref="V5:V7" si="0">IF($V$1="Homelight 20A"," ",IF($V$1="Homelight 60A"," ",IF($V$1="Homepower Bulk"," ",U5)))</f>
        <v>50</v>
      </c>
      <c r="W5" s="303" t="str">
        <f>IF(AND($V$1="Businessrate",$V$2=50),2,IF(AND($V$1="Landrate",$V$2=50),2,IF(AND($V$1="Homepower",$V$2=50),2,"")))</f>
        <v/>
      </c>
    </row>
    <row r="6" spans="1:23" ht="14.55" customHeight="1" x14ac:dyDescent="0.3">
      <c r="A6" s="52">
        <v>3</v>
      </c>
      <c r="B6" s="37">
        <v>114.19</v>
      </c>
      <c r="C6" s="37">
        <v>0.44</v>
      </c>
      <c r="D6" s="37">
        <v>16.12</v>
      </c>
      <c r="E6" s="37">
        <v>67.39</v>
      </c>
      <c r="F6" s="37">
        <v>20</v>
      </c>
      <c r="G6" s="57">
        <v>0</v>
      </c>
      <c r="I6" s="302"/>
      <c r="J6" s="306" t="s">
        <v>89</v>
      </c>
      <c r="K6" s="307">
        <f>B16</f>
        <v>326.73</v>
      </c>
      <c r="L6" s="303"/>
      <c r="M6" s="303"/>
      <c r="N6" s="303"/>
      <c r="O6" s="310"/>
      <c r="P6" s="304"/>
      <c r="Q6" s="300"/>
      <c r="R6" s="300"/>
      <c r="S6" s="300"/>
      <c r="T6" s="300"/>
      <c r="U6" s="303">
        <v>100</v>
      </c>
      <c r="V6" s="303">
        <f t="shared" si="0"/>
        <v>100</v>
      </c>
      <c r="W6" s="303" t="str">
        <f>IF(AND($V$1="Businessrate",$V$2=100),3,IF(AND($V$1="Landrate",$V$2=100),3,IF(AND($V$1="Homepower",$V$2=100),3,"")))</f>
        <v/>
      </c>
    </row>
    <row r="7" spans="1:23" ht="16.05" customHeight="1" thickBot="1" x14ac:dyDescent="0.35">
      <c r="A7" s="53">
        <v>4</v>
      </c>
      <c r="B7" s="58">
        <v>307.29000000000002</v>
      </c>
      <c r="C7" s="58">
        <v>0.44</v>
      </c>
      <c r="D7" s="58">
        <v>16.12</v>
      </c>
      <c r="E7" s="58">
        <v>0</v>
      </c>
      <c r="F7" s="58">
        <v>0</v>
      </c>
      <c r="G7" s="59">
        <v>0</v>
      </c>
      <c r="I7" s="302"/>
      <c r="J7" s="306" t="s">
        <v>123</v>
      </c>
      <c r="K7" s="307">
        <f>B17</f>
        <v>421.19</v>
      </c>
      <c r="L7" s="303"/>
      <c r="M7" s="303"/>
      <c r="N7" s="303"/>
      <c r="O7" s="303"/>
      <c r="P7" s="304"/>
      <c r="Q7" s="300"/>
      <c r="R7" s="300"/>
      <c r="S7" s="300"/>
      <c r="T7" s="300"/>
      <c r="U7" s="303">
        <v>16</v>
      </c>
      <c r="V7" s="303">
        <f t="shared" si="0"/>
        <v>16</v>
      </c>
      <c r="W7" s="303" t="str">
        <f>IF(AND($V$1="Businessrate",$V$2=16),4,IF(AND($V$1="Businessrate",$V$2=25),4,IF(AND($V$1="Landrate",V2=16),4,IF(AND($V$1="Homepower",$V$2=16),4,""))))</f>
        <v/>
      </c>
    </row>
    <row r="8" spans="1:23" x14ac:dyDescent="0.3">
      <c r="A8" s="31"/>
      <c r="B8" s="29"/>
      <c r="C8" s="29"/>
      <c r="D8" s="29"/>
      <c r="E8" s="29"/>
      <c r="F8" s="29"/>
      <c r="G8" s="23"/>
      <c r="I8" s="302"/>
      <c r="J8" s="306" t="s">
        <v>88</v>
      </c>
      <c r="K8" s="303"/>
      <c r="L8" s="303"/>
      <c r="M8" s="303"/>
      <c r="N8" s="307"/>
      <c r="O8" s="310"/>
      <c r="P8" s="309">
        <f>F15</f>
        <v>54.043599999999998</v>
      </c>
      <c r="Q8" s="300"/>
      <c r="R8" s="300"/>
      <c r="S8" s="300"/>
      <c r="T8" s="300"/>
      <c r="U8" s="303" t="s">
        <v>102</v>
      </c>
      <c r="V8" s="303" t="str">
        <f>IF(V1="Homepower"," ",IF(V1="Businessrate"," ",IF(V1="Landrate"," ",IF(V1="Homelight 60A"," ",IF(V1="Homepower Bulk"," ",U8)))))</f>
        <v xml:space="preserve"> </v>
      </c>
      <c r="W8" s="303" t="str">
        <f>IF(AND($V$1="Businessrate",$V$2=16),4,IF(AND($V$1="Landrate",W6=16),4,IF(AND($V$1="Homepower",$V$2=16),4,"")))</f>
        <v/>
      </c>
    </row>
    <row r="9" spans="1:23" ht="15" thickBot="1" x14ac:dyDescent="0.35">
      <c r="A9" s="31"/>
      <c r="B9" s="29"/>
      <c r="C9" s="29"/>
      <c r="D9" s="29"/>
      <c r="E9" s="29"/>
      <c r="F9" s="29"/>
      <c r="G9" s="23"/>
      <c r="I9" s="302"/>
      <c r="J9" s="306" t="s">
        <v>127</v>
      </c>
      <c r="K9" s="307">
        <f>B27</f>
        <v>111.87</v>
      </c>
      <c r="L9" s="307">
        <f>C27</f>
        <v>126.76</v>
      </c>
      <c r="M9" s="303"/>
      <c r="N9" s="303"/>
      <c r="O9" s="310"/>
      <c r="P9" s="304"/>
      <c r="Q9" s="300"/>
      <c r="R9" s="300"/>
      <c r="S9" s="300"/>
      <c r="T9" s="300"/>
      <c r="U9" s="303" t="s">
        <v>103</v>
      </c>
      <c r="V9" s="303" t="str">
        <f>IF(V1="Homepower"," ",IF(V1="Businessrate"," ",IF(V1="Landrate"," ",IF(V1="Homelight 20A"," ",IF(V1="Homepower Bulk"," ",U9)))))</f>
        <v xml:space="preserve"> </v>
      </c>
      <c r="W9" s="303" t="str">
        <f>IF(AND($V$1="Businessrate",$V$2=16),4,IF(AND($V$1="Landrate",W7=16),4,IF(AND($V$1="Homepower",$V$2=16),4,"")))</f>
        <v/>
      </c>
    </row>
    <row r="10" spans="1:23" ht="40.5" customHeight="1" thickBot="1" x14ac:dyDescent="0.35">
      <c r="A10" s="49" t="s">
        <v>26</v>
      </c>
      <c r="B10" s="50" t="s">
        <v>60</v>
      </c>
      <c r="C10" s="50" t="s">
        <v>61</v>
      </c>
      <c r="D10" s="50" t="s">
        <v>62</v>
      </c>
      <c r="E10" s="50" t="s">
        <v>63</v>
      </c>
      <c r="F10" s="50" t="s">
        <v>64</v>
      </c>
      <c r="G10" s="51" t="s">
        <v>65</v>
      </c>
      <c r="I10" s="311"/>
      <c r="J10" s="312" t="s">
        <v>126</v>
      </c>
      <c r="K10" s="313">
        <f>B28</f>
        <v>126.61</v>
      </c>
      <c r="L10" s="313">
        <f>C28</f>
        <v>215.21</v>
      </c>
      <c r="M10" s="314"/>
      <c r="N10" s="314"/>
      <c r="O10" s="315"/>
      <c r="P10" s="316"/>
      <c r="Q10" s="300"/>
      <c r="R10" s="300"/>
      <c r="S10" s="300"/>
      <c r="T10" s="300"/>
      <c r="U10" s="303"/>
      <c r="V10" s="303"/>
      <c r="W10" s="303" t="str">
        <f>IF(AND($V$1="Businessrate",$V$2=16),4,IF(AND($V$1="Landrate",W8=16),4,IF(AND($V$1="Homepower",$V$2=16),4,"")))</f>
        <v/>
      </c>
    </row>
    <row r="11" spans="1:23" ht="14.4" customHeight="1" thickBot="1" x14ac:dyDescent="0.35">
      <c r="A11" s="52">
        <v>1</v>
      </c>
      <c r="B11" s="37">
        <v>113.63</v>
      </c>
      <c r="C11" s="37">
        <v>0.44</v>
      </c>
      <c r="D11" s="37">
        <v>28.39</v>
      </c>
      <c r="E11" s="37">
        <v>30.35</v>
      </c>
      <c r="F11" s="37">
        <v>25.2</v>
      </c>
      <c r="G11" s="57">
        <v>0</v>
      </c>
      <c r="I11" s="300"/>
      <c r="J11" s="317" t="str">
        <f>'Current tariff'!C3</f>
        <v>Homepower</v>
      </c>
      <c r="K11" s="318">
        <f>INDEX(K2:K10,MATCH($J$11,$J$2:$J$10,0))</f>
        <v>133.83000000000001</v>
      </c>
      <c r="L11" s="318">
        <f t="shared" ref="L11:P11" si="1">INDEX(L2:L10,MATCH($J$11,$J$2:$J$10,0))</f>
        <v>211.32</v>
      </c>
      <c r="M11" s="318">
        <f t="shared" si="1"/>
        <v>0</v>
      </c>
      <c r="N11" s="318">
        <f t="shared" si="1"/>
        <v>0</v>
      </c>
      <c r="O11" s="318">
        <f t="shared" si="1"/>
        <v>5.73</v>
      </c>
      <c r="P11" s="319">
        <f t="shared" si="1"/>
        <v>0</v>
      </c>
      <c r="Q11" s="300"/>
      <c r="R11" s="300"/>
      <c r="S11" s="300"/>
      <c r="T11" s="300"/>
      <c r="U11" s="300"/>
      <c r="V11" s="300"/>
      <c r="W11" s="300"/>
    </row>
    <row r="12" spans="1:23" ht="14.4" customHeight="1" x14ac:dyDescent="0.3">
      <c r="A12" s="52">
        <v>2</v>
      </c>
      <c r="B12" s="37">
        <v>113.63</v>
      </c>
      <c r="C12" s="37">
        <v>0.44</v>
      </c>
      <c r="D12" s="37">
        <v>28.39</v>
      </c>
      <c r="E12" s="37">
        <v>46.65</v>
      </c>
      <c r="F12" s="37">
        <v>25.2</v>
      </c>
      <c r="G12" s="57">
        <v>0</v>
      </c>
    </row>
    <row r="13" spans="1:23" ht="15" customHeight="1" x14ac:dyDescent="0.3">
      <c r="A13" s="52">
        <v>3</v>
      </c>
      <c r="B13" s="37">
        <v>113.63</v>
      </c>
      <c r="C13" s="37">
        <v>0.44</v>
      </c>
      <c r="D13" s="37">
        <v>28.39</v>
      </c>
      <c r="E13" s="37">
        <v>74.58</v>
      </c>
      <c r="F13" s="37">
        <v>25.2</v>
      </c>
      <c r="G13" s="57">
        <v>0</v>
      </c>
      <c r="O13" s="262"/>
    </row>
    <row r="14" spans="1:23" ht="15" thickBot="1" x14ac:dyDescent="0.35">
      <c r="A14" s="53">
        <v>4</v>
      </c>
      <c r="B14" s="58">
        <v>245.42</v>
      </c>
      <c r="C14" s="58">
        <v>0.44</v>
      </c>
      <c r="D14" s="58">
        <v>28.39</v>
      </c>
      <c r="E14" s="58">
        <v>24.16</v>
      </c>
      <c r="F14" s="58">
        <v>0</v>
      </c>
      <c r="G14" s="59">
        <v>0</v>
      </c>
      <c r="O14" s="262"/>
    </row>
    <row r="15" spans="1:23" x14ac:dyDescent="0.3">
      <c r="A15" s="52" t="s">
        <v>88</v>
      </c>
      <c r="B15" s="37">
        <v>0</v>
      </c>
      <c r="C15" s="37">
        <v>0</v>
      </c>
      <c r="D15" s="37">
        <v>0</v>
      </c>
      <c r="E15" s="37">
        <v>0</v>
      </c>
      <c r="F15" s="37">
        <v>54.043599999999998</v>
      </c>
      <c r="G15" s="57">
        <v>0</v>
      </c>
      <c r="O15" s="262"/>
    </row>
    <row r="16" spans="1:23" x14ac:dyDescent="0.3">
      <c r="A16" s="52" t="s">
        <v>89</v>
      </c>
      <c r="B16" s="37">
        <v>326.73</v>
      </c>
      <c r="C16" s="37">
        <v>0</v>
      </c>
      <c r="D16" s="37">
        <v>0</v>
      </c>
      <c r="E16" s="37">
        <v>0</v>
      </c>
      <c r="F16" s="37">
        <v>0</v>
      </c>
      <c r="G16" s="57">
        <v>0</v>
      </c>
      <c r="O16" s="262"/>
    </row>
    <row r="17" spans="1:15" ht="15" thickBot="1" x14ac:dyDescent="0.35">
      <c r="A17" s="53" t="s">
        <v>89</v>
      </c>
      <c r="B17" s="58">
        <v>421.19</v>
      </c>
      <c r="C17" s="58">
        <v>0</v>
      </c>
      <c r="D17" s="58">
        <v>0</v>
      </c>
      <c r="E17" s="58">
        <v>0</v>
      </c>
      <c r="F17" s="58">
        <v>0</v>
      </c>
      <c r="G17" s="59">
        <v>0</v>
      </c>
      <c r="O17" s="262"/>
    </row>
    <row r="18" spans="1:15" ht="15" thickBot="1" x14ac:dyDescent="0.35">
      <c r="A18" s="31"/>
      <c r="B18" s="29"/>
      <c r="C18" s="29"/>
      <c r="D18" s="29"/>
      <c r="E18" s="29"/>
      <c r="F18" s="29"/>
      <c r="G18" s="23"/>
      <c r="O18" s="262"/>
    </row>
    <row r="19" spans="1:15" ht="25.05" customHeight="1" x14ac:dyDescent="0.3">
      <c r="A19" s="24" t="s">
        <v>25</v>
      </c>
      <c r="B19" s="25" t="s">
        <v>76</v>
      </c>
      <c r="C19" s="25" t="s">
        <v>77</v>
      </c>
      <c r="D19" s="25" t="s">
        <v>62</v>
      </c>
      <c r="E19" s="25" t="s">
        <v>63</v>
      </c>
      <c r="F19" s="25" t="s">
        <v>64</v>
      </c>
      <c r="G19" s="26" t="s">
        <v>65</v>
      </c>
      <c r="O19" s="262"/>
    </row>
    <row r="20" spans="1:15" x14ac:dyDescent="0.3">
      <c r="A20" s="28">
        <v>1</v>
      </c>
      <c r="B20" s="37">
        <v>133.83000000000001</v>
      </c>
      <c r="C20" s="37">
        <v>211.32</v>
      </c>
      <c r="D20" s="37">
        <v>0</v>
      </c>
      <c r="E20" s="37">
        <v>5.73</v>
      </c>
      <c r="F20" s="37">
        <v>0</v>
      </c>
      <c r="G20" s="57">
        <v>0</v>
      </c>
      <c r="O20" s="262"/>
    </row>
    <row r="21" spans="1:15" ht="14.55" customHeight="1" x14ac:dyDescent="0.3">
      <c r="A21" s="28">
        <v>2</v>
      </c>
      <c r="B21" s="37">
        <v>133.83000000000001</v>
      </c>
      <c r="C21" s="37">
        <v>206.04</v>
      </c>
      <c r="D21" s="37">
        <v>0</v>
      </c>
      <c r="E21" s="37">
        <v>10.74</v>
      </c>
      <c r="F21" s="37">
        <v>0</v>
      </c>
      <c r="G21" s="57">
        <v>0</v>
      </c>
      <c r="O21" s="262"/>
    </row>
    <row r="22" spans="1:15" ht="14.55" customHeight="1" x14ac:dyDescent="0.3">
      <c r="A22" s="28">
        <v>3</v>
      </c>
      <c r="B22" s="37">
        <v>133.83000000000001</v>
      </c>
      <c r="C22" s="37">
        <v>206.04</v>
      </c>
      <c r="D22" s="37">
        <v>0</v>
      </c>
      <c r="E22" s="37">
        <v>22.18</v>
      </c>
      <c r="F22" s="37">
        <v>0</v>
      </c>
      <c r="G22" s="57">
        <v>0</v>
      </c>
      <c r="O22" s="262"/>
    </row>
    <row r="23" spans="1:15" ht="14.55" customHeight="1" thickBot="1" x14ac:dyDescent="0.35">
      <c r="A23" s="30">
        <v>4</v>
      </c>
      <c r="B23" s="58">
        <v>133.83000000000001</v>
      </c>
      <c r="C23" s="58">
        <v>215.21</v>
      </c>
      <c r="D23" s="58">
        <v>0</v>
      </c>
      <c r="E23" s="58">
        <v>3.5</v>
      </c>
      <c r="F23" s="58">
        <v>0</v>
      </c>
      <c r="G23" s="59">
        <v>0</v>
      </c>
      <c r="O23" s="262"/>
    </row>
    <row r="24" spans="1:15" ht="15" customHeight="1" thickBot="1" x14ac:dyDescent="0.35">
      <c r="A24" s="184" t="s">
        <v>115</v>
      </c>
      <c r="B24" s="185">
        <v>175.71</v>
      </c>
      <c r="C24" s="185">
        <v>0</v>
      </c>
      <c r="D24" s="185">
        <v>0</v>
      </c>
      <c r="E24" s="185">
        <v>36.36</v>
      </c>
      <c r="F24" s="185">
        <v>0</v>
      </c>
      <c r="G24" s="186"/>
      <c r="O24" s="262"/>
    </row>
    <row r="25" spans="1:15" ht="14.55" customHeight="1" thickBot="1" x14ac:dyDescent="0.35">
      <c r="A25" s="31"/>
      <c r="B25" s="29"/>
      <c r="C25" s="29"/>
      <c r="D25" s="29"/>
      <c r="E25" s="29"/>
      <c r="F25" s="29"/>
      <c r="G25" s="23"/>
      <c r="O25" s="262"/>
    </row>
    <row r="26" spans="1:15" ht="21.45" customHeight="1" x14ac:dyDescent="0.3">
      <c r="A26" s="215" t="s">
        <v>98</v>
      </c>
      <c r="B26" s="216" t="s">
        <v>99</v>
      </c>
      <c r="C26" s="217" t="s">
        <v>100</v>
      </c>
      <c r="D26" s="218" t="s">
        <v>101</v>
      </c>
      <c r="E26" s="29"/>
      <c r="F26" s="29"/>
      <c r="G26" s="23"/>
      <c r="O26" s="262"/>
    </row>
    <row r="27" spans="1:15" ht="14.55" customHeight="1" x14ac:dyDescent="0.3">
      <c r="A27" s="28" t="s">
        <v>102</v>
      </c>
      <c r="B27" s="219">
        <v>111.87</v>
      </c>
      <c r="C27" s="219">
        <v>126.76</v>
      </c>
      <c r="D27" s="220"/>
      <c r="E27" s="29"/>
      <c r="F27" s="29"/>
      <c r="G27" s="23"/>
      <c r="O27" s="262"/>
    </row>
    <row r="28" spans="1:15" ht="14.55" customHeight="1" thickBot="1" x14ac:dyDescent="0.35">
      <c r="A28" s="30" t="s">
        <v>103</v>
      </c>
      <c r="B28" s="221">
        <v>126.61</v>
      </c>
      <c r="C28" s="221">
        <v>215.21</v>
      </c>
      <c r="D28" s="222"/>
      <c r="E28" s="29"/>
      <c r="F28" s="29"/>
      <c r="G28" s="23"/>
      <c r="O28" s="262"/>
    </row>
    <row r="29" spans="1:15" ht="14.55" customHeight="1" x14ac:dyDescent="0.3">
      <c r="A29" s="31"/>
      <c r="B29" s="29"/>
      <c r="C29" s="29"/>
      <c r="D29" s="29"/>
      <c r="E29" s="29"/>
      <c r="F29" s="29"/>
      <c r="G29" s="23"/>
      <c r="O29" s="262"/>
    </row>
    <row r="30" spans="1:15" ht="14.55" customHeight="1" x14ac:dyDescent="0.3">
      <c r="A30" s="31"/>
      <c r="B30" s="29"/>
      <c r="C30" s="29"/>
      <c r="D30" s="29"/>
      <c r="E30" s="29"/>
      <c r="F30" s="29"/>
      <c r="G30" s="23"/>
      <c r="O30" s="262"/>
    </row>
    <row r="31" spans="1:15" ht="15" thickBot="1" x14ac:dyDescent="0.35">
      <c r="A31" s="31"/>
      <c r="B31" s="29"/>
      <c r="C31" s="29"/>
      <c r="D31" s="29"/>
      <c r="E31" s="29"/>
      <c r="F31" s="29"/>
      <c r="G31" s="23"/>
      <c r="O31" s="262"/>
    </row>
    <row r="32" spans="1:15" ht="25.5" customHeight="1" x14ac:dyDescent="0.3">
      <c r="A32" s="32" t="s">
        <v>66</v>
      </c>
      <c r="B32" s="25" t="s">
        <v>67</v>
      </c>
      <c r="C32" s="33" t="s">
        <v>68</v>
      </c>
      <c r="D32" s="29"/>
      <c r="E32" s="29"/>
      <c r="F32" s="29"/>
      <c r="G32" s="23"/>
      <c r="O32" s="262"/>
    </row>
    <row r="33" spans="1:15" ht="14.55" customHeight="1" x14ac:dyDescent="0.3">
      <c r="A33" s="28" t="s">
        <v>69</v>
      </c>
      <c r="B33" s="37">
        <v>90.87</v>
      </c>
      <c r="C33" s="57">
        <v>28.43</v>
      </c>
      <c r="D33" s="29"/>
      <c r="E33" s="29"/>
      <c r="F33" s="29"/>
      <c r="G33" s="23"/>
      <c r="O33" s="262"/>
    </row>
    <row r="34" spans="1:15" ht="14.55" customHeight="1" x14ac:dyDescent="0.3">
      <c r="A34" s="28" t="s">
        <v>70</v>
      </c>
      <c r="B34" s="37">
        <v>121.67</v>
      </c>
      <c r="C34" s="57">
        <v>81.95</v>
      </c>
      <c r="D34" s="29"/>
      <c r="E34" s="29"/>
      <c r="F34" s="29"/>
      <c r="G34" s="23"/>
      <c r="O34" s="262"/>
    </row>
    <row r="35" spans="1:15" ht="14.55" customHeight="1" thickBot="1" x14ac:dyDescent="0.35">
      <c r="A35" s="28" t="s">
        <v>71</v>
      </c>
      <c r="B35" s="37">
        <v>5.97</v>
      </c>
      <c r="C35" s="57">
        <v>0</v>
      </c>
      <c r="D35" s="29"/>
      <c r="E35" s="29"/>
      <c r="F35" s="29"/>
      <c r="G35" s="23"/>
      <c r="O35" s="262"/>
    </row>
    <row r="36" spans="1:15" ht="27.6" x14ac:dyDescent="0.3">
      <c r="A36" s="32" t="s">
        <v>72</v>
      </c>
      <c r="B36" s="25" t="s">
        <v>73</v>
      </c>
      <c r="C36" s="33" t="s">
        <v>74</v>
      </c>
      <c r="D36" s="29"/>
      <c r="E36" s="29"/>
      <c r="F36" s="29"/>
      <c r="G36" s="23"/>
      <c r="O36" s="262"/>
    </row>
    <row r="37" spans="1:15" ht="15" thickBot="1" x14ac:dyDescent="0.35">
      <c r="A37" s="34"/>
      <c r="B37" s="58">
        <v>48.19</v>
      </c>
      <c r="C37" s="59">
        <v>1121.7</v>
      </c>
      <c r="D37" s="35"/>
      <c r="E37" s="35"/>
      <c r="F37" s="35"/>
      <c r="G37" s="36"/>
      <c r="O37" s="262"/>
    </row>
  </sheetData>
  <sheetProtection algorithmName="SHA-512" hashValue="hO3FZbJ4Qi6qRoKDsx8Uwn+CUr6Dz8+Im+qz1Jt6gnngMpdNlL0OoO6/dHtRNOubtXucWC8vu/KPpB38xHKGbQ==" saltValue="5RQm55DPd5twpIaoL1RwcQ==" spinCount="100000" sheet="1" objects="1" scenarios="1"/>
  <mergeCells count="1">
    <mergeCell ref="A1:G1"/>
  </mergeCells>
  <pageMargins left="0.7" right="0.7" top="0.75" bottom="0.75" header="0.3" footer="0.3"/>
  <pageSetup orientation="portrait" r:id="rId1"/>
  <ignoredErrors>
    <ignoredError sqref="K2:P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="70" zoomScaleNormal="70" workbookViewId="0">
      <selection activeCell="W8" sqref="W8"/>
    </sheetView>
  </sheetViews>
  <sheetFormatPr defaultRowHeight="14.4" x14ac:dyDescent="0.3"/>
  <cols>
    <col min="1" max="1" width="16.77734375" customWidth="1"/>
    <col min="2" max="2" width="14.21875" customWidth="1"/>
    <col min="3" max="3" width="12.33203125" customWidth="1"/>
    <col min="12" max="12" width="8" customWidth="1"/>
    <col min="13" max="13" width="0.109375" hidden="1" customWidth="1"/>
    <col min="14" max="14" width="16.6640625" hidden="1" customWidth="1"/>
    <col min="15" max="15" width="8.77734375" hidden="1" customWidth="1"/>
    <col min="16" max="16" width="0" hidden="1" customWidth="1"/>
    <col min="17" max="20" width="8.77734375" hidden="1" customWidth="1"/>
    <col min="21" max="21" width="17.33203125" hidden="1" customWidth="1"/>
  </cols>
  <sheetData>
    <row r="1" spans="1:21" ht="31.2" customHeight="1" thickBot="1" x14ac:dyDescent="0.35">
      <c r="A1" s="332" t="s">
        <v>107</v>
      </c>
      <c r="B1" s="333"/>
      <c r="C1" s="333"/>
      <c r="D1" s="333"/>
      <c r="E1" s="333"/>
      <c r="F1" s="333"/>
      <c r="G1" s="333"/>
      <c r="H1" s="333"/>
      <c r="I1" s="333"/>
      <c r="J1" s="333"/>
      <c r="K1" s="334"/>
      <c r="M1" s="244">
        <v>1</v>
      </c>
      <c r="N1" s="245">
        <f>'Revised tariff'!C3</f>
        <v>1</v>
      </c>
      <c r="O1" s="246" t="s">
        <v>81</v>
      </c>
      <c r="P1" s="246" t="s">
        <v>82</v>
      </c>
      <c r="Q1" s="246" t="s">
        <v>83</v>
      </c>
      <c r="R1" s="246" t="s">
        <v>78</v>
      </c>
      <c r="S1" s="246" t="s">
        <v>79</v>
      </c>
      <c r="T1" s="246" t="s">
        <v>84</v>
      </c>
      <c r="U1" s="288" t="s">
        <v>87</v>
      </c>
    </row>
    <row r="2" spans="1:21" ht="16.2" thickBot="1" x14ac:dyDescent="0.35">
      <c r="A2" s="145"/>
      <c r="B2" s="22"/>
      <c r="C2" s="22"/>
      <c r="D2" s="22"/>
      <c r="E2" s="22"/>
      <c r="F2" s="22"/>
      <c r="G2" s="22"/>
      <c r="H2" s="22"/>
      <c r="I2" s="22"/>
      <c r="J2" s="22"/>
      <c r="K2" s="146"/>
      <c r="M2" s="248">
        <v>2</v>
      </c>
      <c r="N2" s="249" t="s">
        <v>25</v>
      </c>
      <c r="O2" s="249">
        <f>INDEX(B21:B24,MATCH(N1,$A$21:$A$24,0))</f>
        <v>117.61</v>
      </c>
      <c r="P2" s="249" t="e">
        <f>INDEX(C18:C21,MATCH(#REF!,$A$17:$A$20,0))</f>
        <v>#REF!</v>
      </c>
      <c r="Q2" s="289">
        <f>INDEX(C21:C24,MATCH(N1,$A$21:$A$24,0))</f>
        <v>0.21859999999999999</v>
      </c>
      <c r="R2" s="249">
        <f>INDEX(D21:D24,MATCH(N1,$A$21:$A$24,0))</f>
        <v>15.45</v>
      </c>
      <c r="S2" s="249">
        <f>INDEX(E21:E24,MATCH(N1,$A$21:$A$24,0))</f>
        <v>13.74</v>
      </c>
      <c r="T2" s="249">
        <f>INDEX(F21:F24,MATCH(N1,$A$21:$A$24,0))</f>
        <v>4.7699999999999996</v>
      </c>
      <c r="U2" s="250">
        <f>INDEX(G21:G24,MATCH(N1,$A$21:$A$24,0))</f>
        <v>0</v>
      </c>
    </row>
    <row r="3" spans="1:21" ht="55.2" x14ac:dyDescent="0.3">
      <c r="A3" s="120" t="s">
        <v>75</v>
      </c>
      <c r="B3" s="121" t="s">
        <v>86</v>
      </c>
      <c r="C3" s="121" t="s">
        <v>61</v>
      </c>
      <c r="D3" s="121" t="s">
        <v>62</v>
      </c>
      <c r="E3" s="121" t="s">
        <v>63</v>
      </c>
      <c r="F3" s="121" t="s">
        <v>64</v>
      </c>
      <c r="G3" s="122" t="s">
        <v>87</v>
      </c>
      <c r="H3" s="27"/>
      <c r="I3" s="47"/>
      <c r="J3" s="47"/>
      <c r="K3" s="148"/>
      <c r="M3" s="248">
        <v>3</v>
      </c>
      <c r="N3" s="249" t="s">
        <v>26</v>
      </c>
      <c r="O3" s="249">
        <f>INDEX(B11:B14,MATCH(N1,$A$11:$A$14,0))</f>
        <v>102.53</v>
      </c>
      <c r="P3" s="249">
        <v>0</v>
      </c>
      <c r="Q3" s="289">
        <f>INDEX(C11:C14,MATCH(N1,$A$11:$A$14,0))</f>
        <v>0.22189999999999999</v>
      </c>
      <c r="R3" s="249">
        <f>INDEX(D11:D14,MATCH(N1,$A$11:$A$14,0))</f>
        <v>23.62</v>
      </c>
      <c r="S3" s="249">
        <f>INDEX(E11:E14,MATCH(N1,$A$11:$A$14,0))</f>
        <v>45.3</v>
      </c>
      <c r="T3" s="249">
        <f>INDEX(F11:F14,MATCH(N1,$A$11:$A$14,0))</f>
        <v>17.79</v>
      </c>
      <c r="U3" s="250">
        <f>INDEX(G11:G14,MATCH(N1,$A$11:$A$14,0))</f>
        <v>0</v>
      </c>
    </row>
    <row r="4" spans="1:21" x14ac:dyDescent="0.3">
      <c r="A4" s="123">
        <v>1</v>
      </c>
      <c r="B4" s="130">
        <v>102.29</v>
      </c>
      <c r="C4" s="130">
        <v>0.21859999999999999</v>
      </c>
      <c r="D4" s="130">
        <v>6.49</v>
      </c>
      <c r="E4" s="130">
        <v>16.489999999999998</v>
      </c>
      <c r="F4" s="130">
        <v>9.23</v>
      </c>
      <c r="G4" s="155">
        <v>5.28</v>
      </c>
      <c r="H4" s="48"/>
      <c r="I4" s="47"/>
      <c r="J4" s="47"/>
      <c r="K4" s="148"/>
      <c r="M4" s="248">
        <v>4</v>
      </c>
      <c r="N4" s="249" t="s">
        <v>75</v>
      </c>
      <c r="O4" s="249">
        <f>INDEX(B4:B7,MATCH(N1,$A$4:$A$7,0))</f>
        <v>102.29</v>
      </c>
      <c r="P4" s="249">
        <v>0</v>
      </c>
      <c r="Q4" s="289">
        <f>INDEX(C4:C7,MATCH(N1,$A$4:$A$7,0))</f>
        <v>0.21859999999999999</v>
      </c>
      <c r="R4" s="249">
        <f>INDEX(D4:D7,MATCH(N1,$A$4:$A$7,0))</f>
        <v>6.49</v>
      </c>
      <c r="S4" s="249">
        <f t="array" ref="S4">INDEX(E4:E7,MATCH(N1,$A$4:$A$7,0))</f>
        <v>16.489999999999998</v>
      </c>
      <c r="T4" s="249">
        <f>INDEX(F4:F7,MATCH(N1,$A$4:$A$7,0))</f>
        <v>9.23</v>
      </c>
      <c r="U4" s="250">
        <f>INDEX(G4:G7,MATCH(N1,$A$4:$A$7,0))</f>
        <v>5.28</v>
      </c>
    </row>
    <row r="5" spans="1:21" x14ac:dyDescent="0.3">
      <c r="A5" s="123">
        <v>2</v>
      </c>
      <c r="B5" s="130">
        <v>102.29</v>
      </c>
      <c r="C5" s="130">
        <v>0.21859999999999999</v>
      </c>
      <c r="D5" s="130">
        <v>6.49</v>
      </c>
      <c r="E5" s="130">
        <v>24.99</v>
      </c>
      <c r="F5" s="130">
        <v>9.23</v>
      </c>
      <c r="G5" s="155">
        <v>5.28</v>
      </c>
      <c r="H5" s="48"/>
      <c r="I5" s="47"/>
      <c r="J5" s="47"/>
      <c r="K5" s="148"/>
      <c r="M5" s="248"/>
      <c r="N5" s="251" t="s">
        <v>90</v>
      </c>
      <c r="O5" s="249">
        <f>B25</f>
        <v>117.61</v>
      </c>
      <c r="P5" s="249"/>
      <c r="Q5" s="289">
        <f>C25</f>
        <v>0.21859999999999999</v>
      </c>
      <c r="R5" s="249">
        <f>D25</f>
        <v>15.45</v>
      </c>
      <c r="S5" s="290">
        <f t="shared" ref="S5:T5" si="0">E25</f>
        <v>45.17</v>
      </c>
      <c r="T5" s="249">
        <f t="shared" si="0"/>
        <v>9.8800000000000008</v>
      </c>
      <c r="U5" s="250"/>
    </row>
    <row r="6" spans="1:21" x14ac:dyDescent="0.3">
      <c r="A6" s="123">
        <v>3</v>
      </c>
      <c r="B6" s="130">
        <v>102.29</v>
      </c>
      <c r="C6" s="130">
        <v>0.21859999999999999</v>
      </c>
      <c r="D6" s="130">
        <v>6.49</v>
      </c>
      <c r="E6" s="130">
        <v>60.96</v>
      </c>
      <c r="F6" s="130">
        <v>9.23</v>
      </c>
      <c r="G6" s="155">
        <v>5.28</v>
      </c>
      <c r="H6" s="48"/>
      <c r="I6" s="47"/>
      <c r="J6" s="47"/>
      <c r="K6" s="148"/>
      <c r="M6" s="248"/>
      <c r="N6" s="251" t="s">
        <v>89</v>
      </c>
      <c r="O6" s="252">
        <f>B16</f>
        <v>286.73</v>
      </c>
      <c r="P6" s="249"/>
      <c r="Q6" s="249"/>
      <c r="R6" s="249"/>
      <c r="S6" s="254"/>
      <c r="T6" s="249"/>
      <c r="U6" s="250"/>
    </row>
    <row r="7" spans="1:21" ht="15" thickBot="1" x14ac:dyDescent="0.35">
      <c r="A7" s="126">
        <v>4</v>
      </c>
      <c r="B7" s="156">
        <v>149.80000000000001</v>
      </c>
      <c r="C7" s="156">
        <v>0.21859999999999999</v>
      </c>
      <c r="D7" s="156">
        <v>6.49</v>
      </c>
      <c r="E7" s="156">
        <v>0</v>
      </c>
      <c r="F7" s="156">
        <v>0</v>
      </c>
      <c r="G7" s="157">
        <v>5.28</v>
      </c>
      <c r="H7" s="48"/>
      <c r="I7" s="47"/>
      <c r="J7" s="47"/>
      <c r="K7" s="148"/>
      <c r="M7" s="248"/>
      <c r="N7" s="251" t="s">
        <v>123</v>
      </c>
      <c r="O7" s="252">
        <f>B17</f>
        <v>406.06</v>
      </c>
      <c r="P7" s="249"/>
      <c r="Q7" s="249"/>
      <c r="R7" s="249"/>
      <c r="S7" s="249"/>
      <c r="T7" s="249"/>
      <c r="U7" s="250"/>
    </row>
    <row r="8" spans="1:21" x14ac:dyDescent="0.3">
      <c r="A8" s="149"/>
      <c r="B8" s="47"/>
      <c r="C8" s="47"/>
      <c r="D8" s="47"/>
      <c r="E8" s="47"/>
      <c r="F8" s="47"/>
      <c r="G8" s="47"/>
      <c r="H8" s="47"/>
      <c r="I8" s="47"/>
      <c r="J8" s="47"/>
      <c r="K8" s="148"/>
      <c r="M8" s="248"/>
      <c r="N8" s="251" t="s">
        <v>88</v>
      </c>
      <c r="O8" s="249"/>
      <c r="P8" s="249"/>
      <c r="Q8" s="249"/>
      <c r="R8" s="252">
        <v>0</v>
      </c>
      <c r="S8" s="254"/>
      <c r="T8" s="252">
        <f>F15</f>
        <v>56.63</v>
      </c>
      <c r="U8" s="253">
        <v>0</v>
      </c>
    </row>
    <row r="9" spans="1:21" ht="15" thickBot="1" x14ac:dyDescent="0.35">
      <c r="A9" s="149"/>
      <c r="B9" s="47"/>
      <c r="C9" s="47"/>
      <c r="D9" s="47"/>
      <c r="E9" s="47"/>
      <c r="F9" s="47"/>
      <c r="G9" s="47"/>
      <c r="H9" s="47"/>
      <c r="I9" s="47"/>
      <c r="J9" s="47"/>
      <c r="K9" s="148"/>
      <c r="M9" s="248"/>
      <c r="N9" s="251" t="s">
        <v>127</v>
      </c>
      <c r="O9" s="252">
        <f>D37</f>
        <v>112.85</v>
      </c>
      <c r="P9" s="252">
        <f>C27</f>
        <v>0</v>
      </c>
      <c r="Q9" s="249"/>
      <c r="R9" s="249"/>
      <c r="S9" s="254"/>
      <c r="T9" s="249"/>
      <c r="U9" s="250"/>
    </row>
    <row r="10" spans="1:21" ht="55.8" thickBot="1" x14ac:dyDescent="0.35">
      <c r="A10" s="120" t="s">
        <v>26</v>
      </c>
      <c r="B10" s="121" t="s">
        <v>86</v>
      </c>
      <c r="C10" s="121" t="s">
        <v>61</v>
      </c>
      <c r="D10" s="121" t="s">
        <v>62</v>
      </c>
      <c r="E10" s="121" t="s">
        <v>63</v>
      </c>
      <c r="F10" s="121" t="s">
        <v>64</v>
      </c>
      <c r="G10" s="122" t="s">
        <v>87</v>
      </c>
      <c r="H10" s="47"/>
      <c r="I10" s="47"/>
      <c r="J10" s="47"/>
      <c r="K10" s="148"/>
      <c r="M10" s="255"/>
      <c r="N10" s="256" t="s">
        <v>126</v>
      </c>
      <c r="O10" s="257">
        <f>D38</f>
        <v>135.97999999999999</v>
      </c>
      <c r="P10" s="257">
        <f>C28</f>
        <v>0</v>
      </c>
      <c r="Q10" s="258"/>
      <c r="R10" s="258"/>
      <c r="S10" s="259"/>
      <c r="T10" s="258"/>
      <c r="U10" s="260"/>
    </row>
    <row r="11" spans="1:21" ht="15" thickBot="1" x14ac:dyDescent="0.35">
      <c r="A11" s="123">
        <v>1</v>
      </c>
      <c r="B11" s="118">
        <v>102.53</v>
      </c>
      <c r="C11" s="118">
        <v>0.22189999999999999</v>
      </c>
      <c r="D11" s="118">
        <v>23.62</v>
      </c>
      <c r="E11" s="118">
        <v>45.3</v>
      </c>
      <c r="F11" s="118">
        <v>17.79</v>
      </c>
      <c r="G11" s="124">
        <v>0</v>
      </c>
      <c r="H11" s="47"/>
      <c r="I11" s="47"/>
      <c r="J11" s="47"/>
      <c r="K11" s="148"/>
      <c r="M11" s="247"/>
      <c r="N11" s="291" t="str">
        <f>'Current tariff'!C3</f>
        <v>Homepower</v>
      </c>
      <c r="O11" s="261">
        <f>INDEX(O2:O10,MATCH($N$11,$N$2:$N$10,0))</f>
        <v>117.61</v>
      </c>
      <c r="P11" s="261" t="e">
        <f t="shared" ref="P11:U11" si="1">INDEX(P2:P10,MATCH($N$11,$N$2:$N$10,0))</f>
        <v>#REF!</v>
      </c>
      <c r="Q11" s="261">
        <f t="shared" si="1"/>
        <v>0.21859999999999999</v>
      </c>
      <c r="R11" s="261">
        <f t="shared" si="1"/>
        <v>15.45</v>
      </c>
      <c r="S11" s="261">
        <f t="shared" si="1"/>
        <v>13.74</v>
      </c>
      <c r="T11" s="261">
        <f t="shared" si="1"/>
        <v>4.7699999999999996</v>
      </c>
      <c r="U11" s="261">
        <f t="shared" si="1"/>
        <v>0</v>
      </c>
    </row>
    <row r="12" spans="1:21" x14ac:dyDescent="0.3">
      <c r="A12" s="123">
        <v>2</v>
      </c>
      <c r="B12" s="118">
        <v>102.53</v>
      </c>
      <c r="C12" s="118">
        <v>0.22189999999999999</v>
      </c>
      <c r="D12" s="118">
        <v>23.62</v>
      </c>
      <c r="E12" s="118">
        <v>69.790000000000006</v>
      </c>
      <c r="F12" s="118">
        <v>17.79</v>
      </c>
      <c r="G12" s="124">
        <v>0</v>
      </c>
      <c r="H12" s="47"/>
      <c r="I12" s="47"/>
      <c r="J12" s="47"/>
      <c r="K12" s="148"/>
    </row>
    <row r="13" spans="1:21" x14ac:dyDescent="0.3">
      <c r="A13" s="123">
        <v>3</v>
      </c>
      <c r="B13" s="118">
        <v>102.53</v>
      </c>
      <c r="C13" s="118">
        <v>0.22189999999999999</v>
      </c>
      <c r="D13" s="118">
        <v>23.62</v>
      </c>
      <c r="E13" s="118">
        <v>105.39</v>
      </c>
      <c r="F13" s="118">
        <v>17.79</v>
      </c>
      <c r="G13" s="124">
        <v>0</v>
      </c>
      <c r="H13" s="47"/>
      <c r="I13" s="47"/>
      <c r="J13" s="47"/>
      <c r="K13" s="148"/>
    </row>
    <row r="14" spans="1:21" x14ac:dyDescent="0.3">
      <c r="A14" s="123">
        <v>4</v>
      </c>
      <c r="B14" s="118">
        <v>196.59</v>
      </c>
      <c r="C14" s="118">
        <v>0.22189999999999999</v>
      </c>
      <c r="D14" s="118">
        <v>23.62</v>
      </c>
      <c r="E14" s="118">
        <v>30.51</v>
      </c>
      <c r="F14" s="118"/>
      <c r="G14" s="124">
        <v>0</v>
      </c>
      <c r="H14" s="47"/>
      <c r="I14" s="47"/>
      <c r="J14" s="47"/>
      <c r="K14" s="148"/>
    </row>
    <row r="15" spans="1:21" x14ac:dyDescent="0.3">
      <c r="A15" s="123" t="s">
        <v>88</v>
      </c>
      <c r="B15" s="119"/>
      <c r="C15" s="119"/>
      <c r="D15" s="119"/>
      <c r="E15" s="119"/>
      <c r="F15" s="118">
        <v>56.63</v>
      </c>
      <c r="G15" s="125"/>
      <c r="H15" s="47"/>
      <c r="I15" s="47"/>
      <c r="J15" s="47"/>
      <c r="K15" s="148"/>
    </row>
    <row r="16" spans="1:21" x14ac:dyDescent="0.3">
      <c r="A16" s="123" t="s">
        <v>89</v>
      </c>
      <c r="B16" s="118">
        <v>286.73</v>
      </c>
      <c r="C16" s="119"/>
      <c r="D16" s="119"/>
      <c r="E16" s="119"/>
      <c r="F16" s="118"/>
      <c r="G16" s="125"/>
      <c r="H16" s="47"/>
      <c r="I16" s="47"/>
      <c r="J16" s="47"/>
      <c r="K16" s="148"/>
    </row>
    <row r="17" spans="1:11" ht="15" thickBot="1" x14ac:dyDescent="0.35">
      <c r="A17" s="126" t="s">
        <v>89</v>
      </c>
      <c r="B17" s="127">
        <v>406.06</v>
      </c>
      <c r="C17" s="128"/>
      <c r="D17" s="128"/>
      <c r="E17" s="128"/>
      <c r="F17" s="128"/>
      <c r="G17" s="129"/>
      <c r="H17" s="47"/>
      <c r="I17" s="47"/>
      <c r="J17" s="47"/>
      <c r="K17" s="148"/>
    </row>
    <row r="18" spans="1:11" x14ac:dyDescent="0.3">
      <c r="A18" s="149"/>
      <c r="B18" s="47"/>
      <c r="C18" s="47"/>
      <c r="D18" s="47"/>
      <c r="E18" s="47"/>
      <c r="F18" s="47"/>
      <c r="G18" s="47"/>
      <c r="H18" s="47"/>
      <c r="I18" s="47"/>
      <c r="J18" s="47"/>
      <c r="K18" s="148"/>
    </row>
    <row r="19" spans="1:11" ht="15" thickBot="1" x14ac:dyDescent="0.35">
      <c r="A19" s="149"/>
      <c r="B19" s="47"/>
      <c r="C19" s="47"/>
      <c r="D19" s="47"/>
      <c r="E19" s="47"/>
      <c r="F19" s="47"/>
      <c r="G19" s="47"/>
      <c r="H19" s="47"/>
      <c r="I19" s="47"/>
      <c r="J19" s="47"/>
      <c r="K19" s="148"/>
    </row>
    <row r="20" spans="1:11" ht="55.2" x14ac:dyDescent="0.3">
      <c r="A20" s="120" t="s">
        <v>25</v>
      </c>
      <c r="B20" s="121" t="s">
        <v>86</v>
      </c>
      <c r="C20" s="121" t="s">
        <v>61</v>
      </c>
      <c r="D20" s="121" t="s">
        <v>62</v>
      </c>
      <c r="E20" s="121" t="s">
        <v>63</v>
      </c>
      <c r="F20" s="121" t="s">
        <v>64</v>
      </c>
      <c r="G20" s="122" t="s">
        <v>87</v>
      </c>
      <c r="H20" s="47"/>
      <c r="I20" s="47"/>
      <c r="J20" s="47"/>
      <c r="K20" s="148"/>
    </row>
    <row r="21" spans="1:11" x14ac:dyDescent="0.3">
      <c r="A21" s="123">
        <v>1</v>
      </c>
      <c r="B21" s="118">
        <v>117.61</v>
      </c>
      <c r="C21" s="118">
        <v>0.21859999999999999</v>
      </c>
      <c r="D21" s="118">
        <v>15.45</v>
      </c>
      <c r="E21" s="118">
        <v>13.74</v>
      </c>
      <c r="F21" s="118">
        <v>4.7699999999999996</v>
      </c>
      <c r="G21" s="124">
        <v>0</v>
      </c>
      <c r="H21" s="47"/>
      <c r="I21" s="47"/>
      <c r="J21" s="47"/>
      <c r="K21" s="148"/>
    </row>
    <row r="22" spans="1:11" x14ac:dyDescent="0.3">
      <c r="A22" s="123">
        <v>2</v>
      </c>
      <c r="B22" s="118">
        <v>117.61</v>
      </c>
      <c r="C22" s="118">
        <v>0.21859999999999999</v>
      </c>
      <c r="D22" s="118">
        <v>15.45</v>
      </c>
      <c r="E22" s="118">
        <v>23.83</v>
      </c>
      <c r="F22" s="118">
        <v>4.7699999999999996</v>
      </c>
      <c r="G22" s="124">
        <v>0</v>
      </c>
      <c r="H22" s="47"/>
      <c r="I22" s="47"/>
      <c r="J22" s="47"/>
      <c r="K22" s="148"/>
    </row>
    <row r="23" spans="1:11" x14ac:dyDescent="0.3">
      <c r="A23" s="123">
        <v>3</v>
      </c>
      <c r="B23" s="118">
        <v>117.61</v>
      </c>
      <c r="C23" s="118">
        <v>0.21859999999999999</v>
      </c>
      <c r="D23" s="118">
        <v>15.45</v>
      </c>
      <c r="E23" s="118">
        <v>58.81</v>
      </c>
      <c r="F23" s="118">
        <v>4.7699999999999996</v>
      </c>
      <c r="G23" s="124">
        <v>0</v>
      </c>
      <c r="H23" s="47"/>
      <c r="I23" s="47"/>
      <c r="J23" s="47"/>
      <c r="K23" s="148"/>
    </row>
    <row r="24" spans="1:11" ht="15" thickBot="1" x14ac:dyDescent="0.35">
      <c r="A24" s="126">
        <v>4</v>
      </c>
      <c r="B24" s="127">
        <v>117.61</v>
      </c>
      <c r="C24" s="127">
        <v>0.21859999999999999</v>
      </c>
      <c r="D24" s="127">
        <v>15.45</v>
      </c>
      <c r="E24" s="127">
        <v>6.53</v>
      </c>
      <c r="F24" s="127">
        <v>4.7699999999999996</v>
      </c>
      <c r="G24" s="131">
        <v>0</v>
      </c>
      <c r="H24" s="47"/>
      <c r="I24" s="47"/>
      <c r="J24" s="47"/>
      <c r="K24" s="148"/>
    </row>
    <row r="25" spans="1:11" ht="15" thickBot="1" x14ac:dyDescent="0.35">
      <c r="A25" s="158" t="s">
        <v>90</v>
      </c>
      <c r="B25" s="182">
        <v>117.61</v>
      </c>
      <c r="C25" s="182">
        <v>0.21859999999999999</v>
      </c>
      <c r="D25" s="182">
        <v>15.45</v>
      </c>
      <c r="E25" s="182">
        <v>45.17</v>
      </c>
      <c r="F25" s="183">
        <v>9.8800000000000008</v>
      </c>
      <c r="G25" s="47"/>
      <c r="H25" s="47"/>
      <c r="I25" s="47"/>
      <c r="J25" s="47"/>
      <c r="K25" s="148"/>
    </row>
    <row r="26" spans="1:11" x14ac:dyDescent="0.3">
      <c r="A26" s="149"/>
      <c r="B26" s="47"/>
      <c r="C26" s="47"/>
      <c r="D26" s="47"/>
      <c r="E26" s="47"/>
      <c r="F26" s="47"/>
      <c r="G26" s="47"/>
      <c r="H26" s="47"/>
      <c r="I26" s="47"/>
      <c r="J26" s="47"/>
      <c r="K26" s="148"/>
    </row>
    <row r="27" spans="1:11" ht="15" thickBot="1" x14ac:dyDescent="0.35">
      <c r="A27" s="149"/>
      <c r="B27" s="47"/>
      <c r="C27" s="47"/>
      <c r="D27" s="47"/>
      <c r="E27" s="47"/>
      <c r="F27" s="47"/>
      <c r="G27" s="47"/>
      <c r="H27" s="47"/>
      <c r="I27" s="47"/>
      <c r="J27" s="47"/>
      <c r="K27" s="148"/>
    </row>
    <row r="28" spans="1:11" ht="16.2" thickBot="1" x14ac:dyDescent="0.35">
      <c r="A28" s="147" t="s">
        <v>91</v>
      </c>
      <c r="B28" s="335" t="s">
        <v>92</v>
      </c>
      <c r="C28" s="335"/>
      <c r="D28" s="335"/>
      <c r="E28" s="335" t="s">
        <v>93</v>
      </c>
      <c r="F28" s="335"/>
      <c r="G28" s="335"/>
      <c r="H28" s="54"/>
      <c r="I28" s="54"/>
      <c r="J28" s="54"/>
      <c r="K28" s="150"/>
    </row>
    <row r="29" spans="1:11" ht="55.2" x14ac:dyDescent="0.3">
      <c r="A29" s="132"/>
      <c r="B29" s="121" t="s">
        <v>94</v>
      </c>
      <c r="C29" s="121" t="s">
        <v>95</v>
      </c>
      <c r="D29" s="121" t="s">
        <v>96</v>
      </c>
      <c r="E29" s="121" t="s">
        <v>94</v>
      </c>
      <c r="F29" s="121" t="s">
        <v>95</v>
      </c>
      <c r="G29" s="121" t="s">
        <v>96</v>
      </c>
      <c r="H29" s="121" t="s">
        <v>61</v>
      </c>
      <c r="I29" s="121" t="s">
        <v>62</v>
      </c>
      <c r="J29" s="121" t="s">
        <v>63</v>
      </c>
      <c r="K29" s="122" t="s">
        <v>64</v>
      </c>
    </row>
    <row r="30" spans="1:11" x14ac:dyDescent="0.3">
      <c r="A30" s="123">
        <v>1</v>
      </c>
      <c r="B30" s="118">
        <v>350.77</v>
      </c>
      <c r="C30" s="118">
        <v>87.69</v>
      </c>
      <c r="D30" s="118">
        <v>58.46</v>
      </c>
      <c r="E30" s="118">
        <v>145.57</v>
      </c>
      <c r="F30" s="118">
        <v>81.849999999999994</v>
      </c>
      <c r="G30" s="118">
        <v>58.46</v>
      </c>
      <c r="H30" s="118">
        <v>0.21859999999999999</v>
      </c>
      <c r="I30" s="118">
        <v>15.45</v>
      </c>
      <c r="J30" s="118">
        <v>13.74</v>
      </c>
      <c r="K30" s="124">
        <v>4.7699999999999996</v>
      </c>
    </row>
    <row r="31" spans="1:11" x14ac:dyDescent="0.3">
      <c r="A31" s="123">
        <v>2</v>
      </c>
      <c r="B31" s="118">
        <v>350.77</v>
      </c>
      <c r="C31" s="118">
        <v>87.69</v>
      </c>
      <c r="D31" s="118">
        <v>58.46</v>
      </c>
      <c r="E31" s="118">
        <v>145.57</v>
      </c>
      <c r="F31" s="118">
        <v>81.849999999999994</v>
      </c>
      <c r="G31" s="118">
        <v>58.46</v>
      </c>
      <c r="H31" s="118">
        <v>0.21859999999999999</v>
      </c>
      <c r="I31" s="118">
        <v>15.45</v>
      </c>
      <c r="J31" s="118">
        <v>23.83</v>
      </c>
      <c r="K31" s="124">
        <v>4.7699999999999996</v>
      </c>
    </row>
    <row r="32" spans="1:11" x14ac:dyDescent="0.3">
      <c r="A32" s="123">
        <v>3</v>
      </c>
      <c r="B32" s="118">
        <v>350.77</v>
      </c>
      <c r="C32" s="118">
        <v>87.69</v>
      </c>
      <c r="D32" s="118">
        <v>58.46</v>
      </c>
      <c r="E32" s="118">
        <v>145.57</v>
      </c>
      <c r="F32" s="118">
        <v>81.849999999999994</v>
      </c>
      <c r="G32" s="118">
        <v>58.46</v>
      </c>
      <c r="H32" s="118">
        <v>0.21859999999999999</v>
      </c>
      <c r="I32" s="118">
        <v>15.45</v>
      </c>
      <c r="J32" s="118">
        <v>58.81</v>
      </c>
      <c r="K32" s="124">
        <v>4.7699999999999996</v>
      </c>
    </row>
    <row r="33" spans="1:11" x14ac:dyDescent="0.3">
      <c r="A33" s="123">
        <v>4</v>
      </c>
      <c r="B33" s="118">
        <v>350.77</v>
      </c>
      <c r="C33" s="118">
        <v>87.69</v>
      </c>
      <c r="D33" s="118">
        <v>58.46</v>
      </c>
      <c r="E33" s="118">
        <v>145.57</v>
      </c>
      <c r="F33" s="118">
        <v>81.849999999999994</v>
      </c>
      <c r="G33" s="118">
        <v>58.46</v>
      </c>
      <c r="H33" s="118">
        <v>0.21859999999999999</v>
      </c>
      <c r="I33" s="118">
        <v>15.45</v>
      </c>
      <c r="J33" s="118">
        <v>6.53</v>
      </c>
      <c r="K33" s="124">
        <v>4.7699999999999996</v>
      </c>
    </row>
    <row r="34" spans="1:11" ht="16.2" thickBot="1" x14ac:dyDescent="0.35">
      <c r="A34" s="133" t="s">
        <v>97</v>
      </c>
      <c r="B34" s="134">
        <v>350.77</v>
      </c>
      <c r="C34" s="134">
        <v>87.69</v>
      </c>
      <c r="D34" s="134">
        <v>58.46</v>
      </c>
      <c r="E34" s="134">
        <v>145.57</v>
      </c>
      <c r="F34" s="134">
        <v>81.849999999999994</v>
      </c>
      <c r="G34" s="134">
        <v>58.46</v>
      </c>
      <c r="H34" s="336">
        <v>0</v>
      </c>
      <c r="I34" s="336">
        <v>0</v>
      </c>
      <c r="J34" s="336">
        <v>0</v>
      </c>
      <c r="K34" s="337">
        <v>0</v>
      </c>
    </row>
    <row r="35" spans="1:11" ht="16.2" thickBot="1" x14ac:dyDescent="0.35">
      <c r="A35" s="151"/>
      <c r="B35" s="55"/>
      <c r="C35" s="55"/>
      <c r="D35" s="55"/>
      <c r="E35" s="55"/>
      <c r="F35" s="55"/>
      <c r="G35" s="55"/>
      <c r="H35" s="55"/>
      <c r="I35" s="55"/>
      <c r="J35" s="55"/>
      <c r="K35" s="152"/>
    </row>
    <row r="36" spans="1:11" ht="27.6" x14ac:dyDescent="0.3">
      <c r="A36" s="136" t="s">
        <v>98</v>
      </c>
      <c r="B36" s="137" t="s">
        <v>99</v>
      </c>
      <c r="C36" s="137" t="s">
        <v>100</v>
      </c>
      <c r="D36" s="138" t="s">
        <v>101</v>
      </c>
      <c r="E36" s="47"/>
      <c r="F36" s="47"/>
      <c r="G36" s="47"/>
      <c r="H36" s="47"/>
      <c r="I36" s="47"/>
      <c r="J36" s="47"/>
      <c r="K36" s="148"/>
    </row>
    <row r="37" spans="1:11" x14ac:dyDescent="0.3">
      <c r="A37" s="123" t="s">
        <v>102</v>
      </c>
      <c r="B37" s="135">
        <v>112.85</v>
      </c>
      <c r="C37" s="135">
        <v>112.85</v>
      </c>
      <c r="D37" s="124">
        <v>112.85</v>
      </c>
      <c r="E37" s="47"/>
      <c r="F37" s="47"/>
      <c r="G37" s="47"/>
      <c r="H37" s="47"/>
      <c r="I37" s="47"/>
      <c r="J37" s="47"/>
      <c r="K37" s="148"/>
    </row>
    <row r="38" spans="1:11" ht="15" thickBot="1" x14ac:dyDescent="0.35">
      <c r="A38" s="126" t="s">
        <v>103</v>
      </c>
      <c r="B38" s="139">
        <v>135.97999999999999</v>
      </c>
      <c r="C38" s="139">
        <v>135.97999999999999</v>
      </c>
      <c r="D38" s="131">
        <v>135.97999999999999</v>
      </c>
      <c r="E38" s="47"/>
      <c r="F38" s="47"/>
      <c r="G38" s="47"/>
      <c r="H38" s="47"/>
      <c r="I38" s="47"/>
      <c r="J38" s="47"/>
      <c r="K38" s="148"/>
    </row>
    <row r="39" spans="1:11" x14ac:dyDescent="0.3">
      <c r="A39" s="149"/>
      <c r="B39" s="47"/>
      <c r="C39" s="47"/>
      <c r="D39" s="47"/>
      <c r="E39" s="47"/>
      <c r="F39" s="47"/>
      <c r="G39" s="47"/>
      <c r="H39" s="47"/>
      <c r="I39" s="47"/>
      <c r="J39" s="47"/>
      <c r="K39" s="148"/>
    </row>
    <row r="40" spans="1:11" x14ac:dyDescent="0.3">
      <c r="A40" s="149"/>
      <c r="B40" s="47"/>
      <c r="C40" s="47"/>
      <c r="D40" s="47"/>
      <c r="E40" s="47"/>
      <c r="F40" s="47"/>
      <c r="G40" s="47"/>
      <c r="H40" s="47"/>
      <c r="I40" s="47"/>
      <c r="J40" s="47"/>
      <c r="K40" s="148"/>
    </row>
    <row r="41" spans="1:11" ht="15" thickBot="1" x14ac:dyDescent="0.35">
      <c r="A41" s="149"/>
      <c r="B41" s="47"/>
      <c r="C41" s="47"/>
      <c r="D41" s="47"/>
      <c r="E41" s="47"/>
      <c r="F41" s="47"/>
      <c r="G41" s="47"/>
      <c r="H41" s="47"/>
      <c r="I41" s="47"/>
      <c r="J41" s="47"/>
      <c r="K41" s="148"/>
    </row>
    <row r="42" spans="1:11" ht="31.2" x14ac:dyDescent="0.3">
      <c r="A42" s="140" t="s">
        <v>104</v>
      </c>
      <c r="B42" s="121" t="s">
        <v>67</v>
      </c>
      <c r="C42" s="122" t="s">
        <v>68</v>
      </c>
      <c r="D42" s="47"/>
      <c r="E42" s="47"/>
      <c r="F42" s="47"/>
      <c r="G42" s="47"/>
      <c r="H42" s="47"/>
      <c r="I42" s="47"/>
      <c r="J42" s="47"/>
      <c r="K42" s="148"/>
    </row>
    <row r="43" spans="1:11" x14ac:dyDescent="0.3">
      <c r="A43" s="123" t="s">
        <v>69</v>
      </c>
      <c r="B43" s="118">
        <v>128.07</v>
      </c>
      <c r="C43" s="124">
        <v>42.69</v>
      </c>
      <c r="D43" s="47"/>
      <c r="E43" s="47"/>
      <c r="F43" s="47"/>
      <c r="G43" s="47"/>
      <c r="H43" s="47"/>
      <c r="I43" s="47"/>
      <c r="J43" s="47"/>
      <c r="K43" s="148"/>
    </row>
    <row r="44" spans="1:11" x14ac:dyDescent="0.3">
      <c r="A44" s="123" t="s">
        <v>70</v>
      </c>
      <c r="B44" s="118">
        <v>121.09</v>
      </c>
      <c r="C44" s="124">
        <v>88.4</v>
      </c>
      <c r="D44" s="47"/>
      <c r="E44" s="47"/>
      <c r="F44" s="47"/>
      <c r="G44" s="47"/>
      <c r="H44" s="47"/>
      <c r="I44" s="47"/>
      <c r="J44" s="47"/>
      <c r="K44" s="148"/>
    </row>
    <row r="45" spans="1:11" x14ac:dyDescent="0.3">
      <c r="A45" s="123" t="s">
        <v>71</v>
      </c>
      <c r="B45" s="118">
        <v>20.420000000000002</v>
      </c>
      <c r="C45" s="141"/>
      <c r="D45" s="47"/>
      <c r="E45" s="47"/>
      <c r="F45" s="47"/>
      <c r="G45" s="47"/>
      <c r="H45" s="47"/>
      <c r="I45" s="47"/>
      <c r="J45" s="47"/>
      <c r="K45" s="148"/>
    </row>
    <row r="46" spans="1:11" ht="27.6" x14ac:dyDescent="0.3">
      <c r="A46" s="142" t="s">
        <v>72</v>
      </c>
      <c r="B46" s="117" t="s">
        <v>73</v>
      </c>
      <c r="C46" s="143" t="s">
        <v>74</v>
      </c>
      <c r="D46" s="47"/>
      <c r="E46" s="47"/>
      <c r="F46" s="47"/>
      <c r="G46" s="47"/>
      <c r="H46" s="47"/>
      <c r="I46" s="47"/>
      <c r="J46" s="47"/>
      <c r="K46" s="148"/>
    </row>
    <row r="47" spans="1:11" ht="15" thickBot="1" x14ac:dyDescent="0.35">
      <c r="A47" s="144"/>
      <c r="B47" s="127">
        <v>48.19</v>
      </c>
      <c r="C47" s="131">
        <v>1121.7</v>
      </c>
      <c r="D47" s="153"/>
      <c r="E47" s="153"/>
      <c r="F47" s="153"/>
      <c r="G47" s="153"/>
      <c r="H47" s="153"/>
      <c r="I47" s="153"/>
      <c r="J47" s="153"/>
      <c r="K47" s="154"/>
    </row>
  </sheetData>
  <sheetProtection algorithmName="SHA-512" hashValue="FYlvT7VkIQ9eO3NmRJKHymk8dXCSIXrbGLSby//nd+RcjPN2lxhNqcuB7+zki9fHPIA/q8zrFv1azmexMWTaug==" saltValue="9aKovozHCLyNRuzFBKmo/Q==" spinCount="100000" sheet="1" objects="1" scenarios="1"/>
  <mergeCells count="4">
    <mergeCell ref="A1:K1"/>
    <mergeCell ref="B28:D28"/>
    <mergeCell ref="E28:G28"/>
    <mergeCell ref="H34:K34"/>
  </mergeCells>
  <pageMargins left="0.7" right="0.7" top="0.75" bottom="0.75" header="0.3" footer="0.3"/>
  <ignoredErrors>
    <ignoredError sqref="O2:U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BD8BC41CB0C48A52D454B67E46A92" ma:contentTypeVersion="1" ma:contentTypeDescription="Create a new document." ma:contentTypeScope="" ma:versionID="ea0f62248e86b24ca4ffc2a1b5465d3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5bf928bb74a0c5e591d1d636d7beea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99C338-F4E8-41CA-8840-81CC34551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014561-F765-4913-B413-783215A8B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788A6-4535-41DF-883D-00057B0D4267}">
  <ds:schemaRefs>
    <ds:schemaRef ds:uri="http://purl.org/dc/terms/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Current tariff</vt:lpstr>
      <vt:lpstr>Revised tariff</vt:lpstr>
      <vt:lpstr>Comparison</vt:lpstr>
      <vt:lpstr>Comp at different consumption</vt:lpstr>
      <vt:lpstr>Tariff charges Current</vt:lpstr>
      <vt:lpstr>Tariff charges 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Salvoldi</dc:creator>
  <cp:lastModifiedBy>Vic Pretorius</cp:lastModifiedBy>
  <cp:lastPrinted>2020-09-11T09:54:25Z</cp:lastPrinted>
  <dcterms:created xsi:type="dcterms:W3CDTF">2017-01-16T11:11:02Z</dcterms:created>
  <dcterms:modified xsi:type="dcterms:W3CDTF">2021-06-10T11:05:40Z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0x010100360BD8BC41CB0C48A52D454B67E46A92</vt:lpwstr>
  </property>
</Properties>
</file>