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drawings/drawing9.xml" ContentType="application/vnd.openxmlformats-officedocument.drawing+xml"/>
  <Override PartName="/xl/tables/table2.xml" ContentType="application/vnd.openxmlformats-officedocument.spreadsheetml.tab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https://eskom-my.sharepoint.com/personal/phaahlc_eskom_co_za/Documents/Tariff tools/TCT/202627/TCT 202526 vs 202627/"/>
    </mc:Choice>
  </mc:AlternateContent>
  <xr:revisionPtr revIDLastSave="36" documentId="8_{804AD33E-0350-4B7C-880B-ED501A53BC33}" xr6:coauthVersionLast="47" xr6:coauthVersionMax="47" xr10:uidLastSave="{403D59BD-A893-49D8-8C6F-7ADDFE46ED49}"/>
  <bookViews>
    <workbookView xWindow="-108" yWindow="-108" windowWidth="23256" windowHeight="12456" tabRatio="698" xr2:uid="{00000000-000D-0000-FFFF-FFFF00000000}"/>
  </bookViews>
  <sheets>
    <sheet name="Inputs" sheetId="1" r:id="rId1"/>
    <sheet name="Monthly Average Bill" sheetId="36" r:id="rId2"/>
    <sheet name="Tariff Comparison" sheetId="32" r:id="rId3"/>
    <sheet name="FAQ" sheetId="38" state="hidden" r:id="rId4"/>
    <sheet name="Rates Table" sheetId="29" state="hidden" r:id="rId5"/>
    <sheet name="Workings High" sheetId="30" state="hidden" r:id="rId6"/>
    <sheet name="Workings Low" sheetId="41" state="hidden" r:id="rId7"/>
    <sheet name="Rates SPU - New" sheetId="26" state="hidden" r:id="rId8"/>
    <sheet name="Rates SPU - Current" sheetId="27" state="hidden" r:id="rId9"/>
    <sheet name="Mapping" sheetId="37" state="hidden" r:id="rId10"/>
    <sheet name="Lists" sheetId="2" state="hidden" r:id="rId11"/>
    <sheet name="Notes on updates" sheetId="39" state="hidden" r:id="rId12"/>
  </sheets>
  <definedNames>
    <definedName name="_xlnm._FilterDatabase" localSheetId="1" hidden="1">'Monthly Average Bill'!$B$22:$I$55</definedName>
    <definedName name="_xlnm._FilterDatabase" localSheetId="8" hidden="1">'Rates SPU - Current'!#REF!</definedName>
    <definedName name="_xlnm._FilterDatabase" localSheetId="7" hidden="1">'Rates SPU - New'!#REF!</definedName>
    <definedName name="_xleta.AVERAGE" hidden="1" xlm="1">#NAME?</definedName>
    <definedName name="_xleta.N" hidden="1" xlm="1">#NAME?</definedName>
    <definedName name="Account_Number">Inputs!$G$9</definedName>
    <definedName name="Ave_Monthly_OffPeak_High">'Monthly Average Bill'!$H$13</definedName>
    <definedName name="Ave_Monthly_OffPeak_Low">'Monthly Average Bill'!$P$13</definedName>
    <definedName name="Ave_Monthly_Peak_High">'Monthly Average Bill'!$H$11</definedName>
    <definedName name="Ave_Monthly_Peak_Low">'Monthly Average Bill'!$P$11</definedName>
    <definedName name="Ave_Monthly_Standard_High">'Monthly Average Bill'!$H$12</definedName>
    <definedName name="Ave_Monthly_Standard_Low">'Monthly Average Bill'!$P$12</definedName>
    <definedName name="Base_Tariff_ID">Lists!$M$17:$M$30</definedName>
    <definedName name="Base_Tariff_List">Lists!$J$17:$J$30</definedName>
    <definedName name="Base_Tariff_Type">Lists!$K$17:$K$30</definedName>
    <definedName name="Block1_max_HL20A">Lists!$M$42</definedName>
    <definedName name="Block1_max_HL60A">Lists!$M$43</definedName>
    <definedName name="Block1_max_HP">Lists!$M$44</definedName>
    <definedName name="CA_pw">"TCTF14"</definedName>
    <definedName name="Capacity_List">OFFSET(Lists!$O$29,0,0,Capacity_List_Count,1)</definedName>
    <definedName name="Capacity_List_Count">Lists!$P$36</definedName>
    <definedName name="Capacity_LPU_List">Lists!$O$21:$O$26</definedName>
    <definedName name="Capacity_SPU_List">Lists!$O$11:$O$15</definedName>
    <definedName name="Compare_Long_Type">OFFSET(Lists!$O$77,0,0,Lists!$K$91,1)</definedName>
    <definedName name="Compare_Tariff_List">Lists!$K$77:$K$90</definedName>
    <definedName name="Current_Period">Lists!$L$9</definedName>
    <definedName name="Customer_Category_List">Lists!$O$7:$O$8</definedName>
    <definedName name="Customer_Name">Inputs!$G$8</definedName>
    <definedName name="Days">365</definedName>
    <definedName name="Delivery_ID">Inputs!$G$10</definedName>
    <definedName name="Dropdown_Category">Lists!$C$7</definedName>
    <definedName name="Dropdown_Compare_1">'Tariff Comparison'!$H$6</definedName>
    <definedName name="Dropdown_Compare_2">'Tariff Comparison'!$L$6</definedName>
    <definedName name="Dropdown_Compare_3">'Tariff Comparison'!$P$6</definedName>
    <definedName name="Dropdown_Compare_4">'Tariff Comparison'!$T$6</definedName>
    <definedName name="Dropdown_Customer">Lists!$C$8</definedName>
    <definedName name="Dropdown_Supply">Lists!$C$9</definedName>
    <definedName name="Dropdown_Tariff">Lists!$C$10</definedName>
    <definedName name="Dropdown_Voltage">Lists!$C$12</definedName>
    <definedName name="Dropdown_Zone">Lists!$C$13</definedName>
    <definedName name="ESKOM_Period">Lists!$L$7</definedName>
    <definedName name="ESKOM_Total_days">Lists!$L$11</definedName>
    <definedName name="Factor">1000</definedName>
    <definedName name="Full_Tariff_ID">Lists!$G$17:$G$52</definedName>
    <definedName name="Full_Tariff_List">Lists!$B$17:$B$52</definedName>
    <definedName name="Full_Tariff_Type">Lists!$E$17:$E$52</definedName>
    <definedName name="High_Total_Costs_Current" localSheetId="6">'Workings Low'!$F$40:$AI$40</definedName>
    <definedName name="High_Total_Costs_Current">'Workings High'!$F$40:$AI$40</definedName>
    <definedName name="High_Total_Costs_ExVAT_Current" localSheetId="6">'Workings Low'!$F$37:$AI$37</definedName>
    <definedName name="High_Total_Costs_ExVAT_Current">'Workings High'!$F$37:$AI$37</definedName>
    <definedName name="High_Total_Costs_ExVAT_New" localSheetId="6">'Workings Low'!$AL$37:$BO$37</definedName>
    <definedName name="High_Total_Costs_ExVAT_New">'Workings High'!$AL$37:$BO$37</definedName>
    <definedName name="High_Total_Costs_New" localSheetId="6">'Workings Low'!$AL$40:$BO$40</definedName>
    <definedName name="High_Total_Costs_New">'Workings High'!$AL$40:$BO$40</definedName>
    <definedName name="Homeflex_OffPeak_Energy_High">Inputs!$I$33</definedName>
    <definedName name="Homeflex_OffPeak_Energy_Low">Inputs!$L$33</definedName>
    <definedName name="Homeflex_Peak_Energy_High">Inputs!$G$33</definedName>
    <definedName name="Homeflex_Peak_Energy_Low">Inputs!$J$33</definedName>
    <definedName name="Homeflex_Standard_Energy_High">Inputs!$H$33</definedName>
    <definedName name="Homeflex_Standard_Energy_Low">Inputs!$K$33</definedName>
    <definedName name="Homeflex_Total_Energy">Inputs!$M$33</definedName>
    <definedName name="Homeflex_Total_Monthly_Energy">'Monthly Average Bill'!$H$14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40933.4382638889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_Seasons">Lists!$D$104:$D$115</definedName>
    <definedName name="Matrix_Category_Map">Mapping!$F$22:$G$23</definedName>
    <definedName name="Matrix_Model_Category">Mapping!$F$22:$F$23</definedName>
    <definedName name="Matrix_Model_Tariffs">Mapping!$B$8:$B$43</definedName>
    <definedName name="Matrix_Model_Transmission">Mapping!$F$8:$F$12</definedName>
    <definedName name="Matrix_Model_Voltage">Mapping!$F$16:$F$19</definedName>
    <definedName name="Matrix_Tariff_Map">Mapping!$B$8:$C$43</definedName>
    <definedName name="Matrix_Transmission_Map">Mapping!$F$8:$G$12</definedName>
    <definedName name="Matrix_Voltage_Map">Mapping!$F$16:$G$19</definedName>
    <definedName name="Months">12</definedName>
    <definedName name="Municipality_Period">Lists!$L$8</definedName>
    <definedName name="New_Period">Lists!$L$10</definedName>
    <definedName name="Period">Lists!$L$7</definedName>
    <definedName name="PODs">Inputs!$H$11</definedName>
    <definedName name="_xlnm.Print_Area" localSheetId="1">'Monthly Average Bill'!$A$1:$R$73</definedName>
    <definedName name="_xlnm.Print_Titles" localSheetId="1">'Monthly Average Bill'!$1:$5</definedName>
    <definedName name="Selected_Base_Tariff">Lists!$D$10</definedName>
    <definedName name="Selected_Compare_Tariff_ID">Lists!$L$93</definedName>
    <definedName name="Selected_Customer_Category_ID">Lists!$E$8</definedName>
    <definedName name="Selected_Supply_Size">Lists!$D$9</definedName>
    <definedName name="Selected_Supply_Size_ID">Lists!$E$9</definedName>
    <definedName name="Selected_Supply_Voltage">Lists!$D$12</definedName>
    <definedName name="Selected_Tariff_Category">Lists!$D$7</definedName>
    <definedName name="Selected_Tariff_Category_ID">Lists!$E$7</definedName>
    <definedName name="Selected_Tariff_ID">Lists!$E$10</definedName>
    <definedName name="Selected_Tariff_Type">Lists!$D$11</definedName>
    <definedName name="Selected_Tariff_Type_ID">Lists!$E$11</definedName>
    <definedName name="Selected_Transmission">Lists!$D$13</definedName>
    <definedName name="Semi_Annual_Months">6</definedName>
    <definedName name="SPU_Annual_Total_Energy">Inputs!$H$25</definedName>
    <definedName name="SPU_Block_1">'Monthly Average Bill'!$D$75</definedName>
    <definedName name="SPU_Block_1_Upper">'Monthly Average Bill'!$E$75</definedName>
    <definedName name="SPU_Block_2">'Monthly Average Bill'!$D$76</definedName>
    <definedName name="SPU_Days">'Monthly Average Bill'!$H$15</definedName>
    <definedName name="SPU_Energy_Charges_Current">'Workings High'!$F$27:$AI$27</definedName>
    <definedName name="SPU_Energy_Charges_Current_Low" localSheetId="6">'Workings Low'!$F$27:$AI$27</definedName>
    <definedName name="SPU_Energy_Charges_New">'Workings High'!$AL$27:$BO$27</definedName>
    <definedName name="SPU_Energy_Charges_New_Low" localSheetId="6">'Workings Low'!$AL$27:$BO$27</definedName>
    <definedName name="SPU_Network_Costs_Current">'Workings High'!$F$14:$AI$14</definedName>
    <definedName name="SPU_Network_Costs_Current_Low" localSheetId="6">'Workings Low'!$F$14:$AI$14</definedName>
    <definedName name="SPU_Network_Costs_New">'Workings High'!$AL$14:$BO$14</definedName>
    <definedName name="SPU_Network_Costs_New_Low" localSheetId="6">'Workings Low'!$AL$14:$BO$14</definedName>
    <definedName name="SPU_Other_Charges_Current">'Workings High'!$F$35:$AI$35</definedName>
    <definedName name="SPU_Other_Charges_Current_Low" localSheetId="6">'Workings Low'!$F$35:$AI$35</definedName>
    <definedName name="SPU_Other_Charges_NEw">'Workings High'!$AL$35:$BO$35</definedName>
    <definedName name="SPU_Other_Charges_NEw_Low" localSheetId="6">'Workings Low'!$AL$35:$BO$35</definedName>
    <definedName name="SPU_Selections">Lists!$K$57:$O$70</definedName>
    <definedName name="SPU_Total_Energy">'Monthly Average Bill'!$H$10</definedName>
    <definedName name="Supply_Tariff_List">OFFSET(Lists!$B$57,0,0,Supply_Tariff_List_Count,1)</definedName>
    <definedName name="Supply_Tariff_List_Count">Lists!$B$73</definedName>
    <definedName name="Table_1">'Rates Table'!$E$44</definedName>
    <definedName name="Table_Months">Lists!$B$104:$D$115</definedName>
    <definedName name="Table_Report">'Monthly Average Bill'!$A$22:$I$55</definedName>
    <definedName name="Tariff_Category_List">Lists!$L$37:$L$38</definedName>
    <definedName name="Toggle_TOU">Lists!$E$14</definedName>
    <definedName name="Transmission_List">OFFSET(Lists!$B$94,0,0,Transmission_List_Count,1)</definedName>
    <definedName name="Transmission_List_Count">Lists!$B$99</definedName>
    <definedName name="VAT">Lists!$L$13</definedName>
    <definedName name="Voltage_List">OFFSET(Lists!$B$85,0,0,Voltage_List_Count,1)</definedName>
    <definedName name="Voltage_List_Count">Lists!$B$91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5" i="30" l="1"/>
  <c r="BK46" i="41" l="1"/>
  <c r="BK45" i="41"/>
  <c r="BL7" i="29"/>
  <c r="BM7" i="29"/>
  <c r="BN7" i="29"/>
  <c r="BO7" i="29"/>
  <c r="BK46" i="30" l="1"/>
  <c r="BG7" i="29" l="1"/>
  <c r="AL7" i="29"/>
  <c r="AE8" i="29"/>
  <c r="BG46" i="41"/>
  <c r="BG42" i="41"/>
  <c r="BG40" i="41"/>
  <c r="BJ46" i="41"/>
  <c r="BI46" i="41"/>
  <c r="BH46" i="41"/>
  <c r="BG6" i="41"/>
  <c r="BH6" i="41"/>
  <c r="BI6" i="41"/>
  <c r="BJ6" i="41"/>
  <c r="BK6" i="41"/>
  <c r="BI7" i="41"/>
  <c r="BJ7" i="41"/>
  <c r="BK7" i="41"/>
  <c r="BH7" i="41"/>
  <c r="AA46" i="41"/>
  <c r="AE45" i="41"/>
  <c r="AD45" i="41"/>
  <c r="BJ45" i="41" s="1"/>
  <c r="AC45" i="41"/>
  <c r="BI45" i="41" s="1"/>
  <c r="AB45" i="41"/>
  <c r="BH45" i="41" s="1"/>
  <c r="AA45" i="41"/>
  <c r="BG45" i="41" s="1"/>
  <c r="AA42" i="41"/>
  <c r="AA40" i="41"/>
  <c r="AA6" i="41"/>
  <c r="BJ46" i="30"/>
  <c r="BI46" i="30"/>
  <c r="BH46" i="30"/>
  <c r="BG46" i="30"/>
  <c r="BG33" i="30"/>
  <c r="BG32" i="30"/>
  <c r="BG31" i="30"/>
  <c r="BG25" i="30"/>
  <c r="BG18" i="30"/>
  <c r="BG10" i="30"/>
  <c r="AA45" i="30"/>
  <c r="BG45" i="30" s="1"/>
  <c r="AB45" i="30"/>
  <c r="BH45" i="30" s="1"/>
  <c r="AC45" i="30"/>
  <c r="BI45" i="30" s="1"/>
  <c r="AD45" i="30"/>
  <c r="BJ45" i="30" s="1"/>
  <c r="AE45" i="30"/>
  <c r="BK45" i="30" s="1"/>
  <c r="AA46" i="30"/>
  <c r="AB46" i="30"/>
  <c r="AC46" i="30"/>
  <c r="AD46" i="30"/>
  <c r="AE46" i="30"/>
  <c r="AA42" i="30"/>
  <c r="AA37" i="30"/>
  <c r="AA35" i="30"/>
  <c r="BI7" i="30"/>
  <c r="BJ7" i="30" s="1"/>
  <c r="BK7" i="30" s="1"/>
  <c r="BG6" i="30"/>
  <c r="BH6" i="30"/>
  <c r="BI6" i="30"/>
  <c r="BJ6" i="30"/>
  <c r="BK6" i="30"/>
  <c r="BH7" i="30"/>
  <c r="AC7" i="30"/>
  <c r="AD7" i="30" s="1"/>
  <c r="AB7" i="30"/>
  <c r="AB6" i="30" s="1"/>
  <c r="AA6" i="30"/>
  <c r="BG35" i="30" l="1"/>
  <c r="AE7" i="30"/>
  <c r="AE6" i="30" s="1"/>
  <c r="AD6" i="30"/>
  <c r="AC6" i="30"/>
  <c r="AA8" i="29" l="1"/>
  <c r="AB8" i="29"/>
  <c r="AC8" i="29"/>
  <c r="AD8" i="29"/>
  <c r="AA6" i="29"/>
  <c r="AB7" i="29"/>
  <c r="AB7" i="41"/>
  <c r="AC7" i="29" l="1"/>
  <c r="BH7" i="29"/>
  <c r="AB6" i="29"/>
  <c r="BH6" i="29" s="1"/>
  <c r="BG6" i="29"/>
  <c r="AC7" i="41"/>
  <c r="AB46" i="41"/>
  <c r="AB6" i="41"/>
  <c r="AD7" i="29" l="1"/>
  <c r="BI7" i="29"/>
  <c r="AC6" i="29"/>
  <c r="BI6" i="29" s="1"/>
  <c r="AD7" i="41"/>
  <c r="AC46" i="41"/>
  <c r="AC6" i="41"/>
  <c r="AC108" i="2"/>
  <c r="AB108" i="2"/>
  <c r="AA108" i="2"/>
  <c r="Z108" i="2"/>
  <c r="Y108" i="2"/>
  <c r="W108" i="2"/>
  <c r="V108" i="2"/>
  <c r="U108" i="2"/>
  <c r="T108" i="2"/>
  <c r="S108" i="2"/>
  <c r="R108" i="2"/>
  <c r="B104" i="2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D99" i="2"/>
  <c r="C99" i="2"/>
  <c r="B99" i="2"/>
  <c r="B97" i="2"/>
  <c r="B96" i="2"/>
  <c r="B95" i="2"/>
  <c r="B94" i="2"/>
  <c r="D91" i="2"/>
  <c r="B91" i="2"/>
  <c r="B88" i="2"/>
  <c r="B87" i="2"/>
  <c r="B86" i="2"/>
  <c r="B85" i="2"/>
  <c r="AC84" i="2"/>
  <c r="AB84" i="2"/>
  <c r="AA84" i="2"/>
  <c r="Z84" i="2"/>
  <c r="Y84" i="2"/>
  <c r="X84" i="2"/>
  <c r="W84" i="2"/>
  <c r="V84" i="2"/>
  <c r="U84" i="2"/>
  <c r="T84" i="2"/>
  <c r="S84" i="2"/>
  <c r="R84" i="2"/>
  <c r="D82" i="2"/>
  <c r="C82" i="2"/>
  <c r="AC81" i="2"/>
  <c r="AB81" i="2"/>
  <c r="AA81" i="2"/>
  <c r="Z81" i="2"/>
  <c r="Y81" i="2"/>
  <c r="X81" i="2"/>
  <c r="W81" i="2"/>
  <c r="V81" i="2"/>
  <c r="U81" i="2"/>
  <c r="T81" i="2"/>
  <c r="S81" i="2"/>
  <c r="R81" i="2"/>
  <c r="I73" i="2"/>
  <c r="G73" i="2"/>
  <c r="F73" i="2"/>
  <c r="E73" i="2"/>
  <c r="D73" i="2"/>
  <c r="C73" i="2"/>
  <c r="O70" i="2"/>
  <c r="N70" i="2"/>
  <c r="M70" i="2"/>
  <c r="L70" i="2"/>
  <c r="K70" i="2"/>
  <c r="O69" i="2"/>
  <c r="N69" i="2"/>
  <c r="M69" i="2"/>
  <c r="L69" i="2"/>
  <c r="K69" i="2"/>
  <c r="O68" i="2"/>
  <c r="N68" i="2"/>
  <c r="M68" i="2"/>
  <c r="L68" i="2"/>
  <c r="K68" i="2"/>
  <c r="O67" i="2"/>
  <c r="N67" i="2"/>
  <c r="M67" i="2"/>
  <c r="L67" i="2"/>
  <c r="K67" i="2"/>
  <c r="O66" i="2"/>
  <c r="N66" i="2"/>
  <c r="M66" i="2"/>
  <c r="L66" i="2"/>
  <c r="K66" i="2"/>
  <c r="O65" i="2"/>
  <c r="N65" i="2"/>
  <c r="M65" i="2"/>
  <c r="L65" i="2"/>
  <c r="K65" i="2"/>
  <c r="O64" i="2"/>
  <c r="N64" i="2"/>
  <c r="M64" i="2"/>
  <c r="L64" i="2"/>
  <c r="K64" i="2"/>
  <c r="O63" i="2"/>
  <c r="N63" i="2"/>
  <c r="M63" i="2"/>
  <c r="L63" i="2"/>
  <c r="K63" i="2"/>
  <c r="O62" i="2"/>
  <c r="N62" i="2"/>
  <c r="M62" i="2"/>
  <c r="L62" i="2"/>
  <c r="K62" i="2"/>
  <c r="O61" i="2"/>
  <c r="N61" i="2"/>
  <c r="M61" i="2"/>
  <c r="L61" i="2"/>
  <c r="K61" i="2"/>
  <c r="O60" i="2"/>
  <c r="N60" i="2"/>
  <c r="M60" i="2"/>
  <c r="L60" i="2"/>
  <c r="K60" i="2"/>
  <c r="O59" i="2"/>
  <c r="N59" i="2"/>
  <c r="M59" i="2"/>
  <c r="L59" i="2"/>
  <c r="K59" i="2"/>
  <c r="O58" i="2"/>
  <c r="N58" i="2"/>
  <c r="M58" i="2"/>
  <c r="L58" i="2"/>
  <c r="K58" i="2"/>
  <c r="W57" i="2"/>
  <c r="O57" i="2"/>
  <c r="N57" i="2"/>
  <c r="M57" i="2"/>
  <c r="L57" i="2"/>
  <c r="K57" i="2"/>
  <c r="I57" i="2"/>
  <c r="AC56" i="2"/>
  <c r="AB56" i="2"/>
  <c r="AA56" i="2"/>
  <c r="Z56" i="2"/>
  <c r="Y56" i="2"/>
  <c r="W56" i="2"/>
  <c r="V56" i="2"/>
  <c r="U56" i="2"/>
  <c r="T56" i="2"/>
  <c r="S56" i="2"/>
  <c r="R56" i="2"/>
  <c r="O56" i="2"/>
  <c r="N56" i="2"/>
  <c r="M56" i="2"/>
  <c r="L56" i="2"/>
  <c r="K56" i="2"/>
  <c r="I56" i="2"/>
  <c r="G56" i="2"/>
  <c r="F56" i="2"/>
  <c r="E56" i="2"/>
  <c r="D56" i="2"/>
  <c r="C56" i="2"/>
  <c r="F43" i="2"/>
  <c r="E43" i="2"/>
  <c r="B43" i="2"/>
  <c r="F42" i="2"/>
  <c r="E42" i="2"/>
  <c r="B42" i="2"/>
  <c r="F41" i="2"/>
  <c r="E41" i="2"/>
  <c r="B41" i="2"/>
  <c r="F40" i="2"/>
  <c r="E40" i="2"/>
  <c r="B40" i="2"/>
  <c r="F39" i="2"/>
  <c r="E39" i="2"/>
  <c r="B39" i="2"/>
  <c r="F38" i="2"/>
  <c r="E38" i="2"/>
  <c r="B38" i="2"/>
  <c r="E37" i="2"/>
  <c r="P36" i="2"/>
  <c r="E36" i="2"/>
  <c r="E35" i="2"/>
  <c r="O34" i="2"/>
  <c r="F34" i="2"/>
  <c r="E34" i="2"/>
  <c r="O33" i="2"/>
  <c r="F33" i="2"/>
  <c r="E33" i="2"/>
  <c r="O32" i="2"/>
  <c r="F32" i="2"/>
  <c r="E32" i="2"/>
  <c r="B32" i="2"/>
  <c r="O31" i="2"/>
  <c r="F31" i="2"/>
  <c r="E31" i="2"/>
  <c r="B31" i="2"/>
  <c r="O30" i="2"/>
  <c r="F30" i="2"/>
  <c r="E30" i="2"/>
  <c r="B30" i="2"/>
  <c r="O29" i="2"/>
  <c r="F29" i="2"/>
  <c r="E29" i="2"/>
  <c r="B29" i="2"/>
  <c r="F28" i="2"/>
  <c r="E28" i="2"/>
  <c r="B28" i="2"/>
  <c r="F27" i="2"/>
  <c r="E27" i="2"/>
  <c r="B27" i="2"/>
  <c r="F26" i="2"/>
  <c r="E26" i="2"/>
  <c r="B26" i="2"/>
  <c r="F25" i="2"/>
  <c r="E25" i="2"/>
  <c r="B25" i="2"/>
  <c r="F24" i="2"/>
  <c r="E24" i="2"/>
  <c r="B24" i="2"/>
  <c r="F23" i="2"/>
  <c r="E23" i="2"/>
  <c r="B23" i="2"/>
  <c r="F22" i="2"/>
  <c r="E22" i="2"/>
  <c r="B22" i="2"/>
  <c r="F21" i="2"/>
  <c r="E21" i="2"/>
  <c r="B21" i="2"/>
  <c r="F20" i="2"/>
  <c r="E20" i="2"/>
  <c r="B20" i="2"/>
  <c r="F19" i="2"/>
  <c r="E19" i="2"/>
  <c r="B19" i="2"/>
  <c r="F18" i="2"/>
  <c r="E18" i="2"/>
  <c r="B18" i="2"/>
  <c r="F17" i="2"/>
  <c r="E17" i="2"/>
  <c r="B17" i="2"/>
  <c r="E14" i="2"/>
  <c r="D13" i="2"/>
  <c r="D12" i="2"/>
  <c r="D9" i="2"/>
  <c r="E9" i="2" s="1"/>
  <c r="B69" i="2" s="1"/>
  <c r="L88" i="2" s="1"/>
  <c r="K88" i="2" s="1"/>
  <c r="N88" i="2" s="1"/>
  <c r="O88" i="2" s="1"/>
  <c r="L8" i="2"/>
  <c r="E8" i="2"/>
  <c r="D8" i="2"/>
  <c r="D7" i="2"/>
  <c r="E7" i="2" s="1"/>
  <c r="B34" i="37"/>
  <c r="B33" i="37"/>
  <c r="B32" i="37"/>
  <c r="B31" i="37"/>
  <c r="B30" i="37"/>
  <c r="B29" i="37"/>
  <c r="F23" i="37"/>
  <c r="B23" i="37"/>
  <c r="F22" i="37"/>
  <c r="B22" i="37"/>
  <c r="B21" i="37"/>
  <c r="B20" i="37"/>
  <c r="F19" i="37"/>
  <c r="B19" i="37"/>
  <c r="F18" i="37"/>
  <c r="B18" i="37"/>
  <c r="F17" i="37"/>
  <c r="B17" i="37"/>
  <c r="F16" i="37"/>
  <c r="B16" i="37"/>
  <c r="B15" i="37"/>
  <c r="B14" i="37"/>
  <c r="B13" i="37"/>
  <c r="F12" i="37"/>
  <c r="B12" i="37"/>
  <c r="F11" i="37"/>
  <c r="B11" i="37"/>
  <c r="F10" i="37"/>
  <c r="B10" i="37"/>
  <c r="F9" i="37"/>
  <c r="B9" i="37"/>
  <c r="B8" i="37"/>
  <c r="H51" i="27"/>
  <c r="G51" i="27"/>
  <c r="H50" i="27"/>
  <c r="G50" i="27"/>
  <c r="H49" i="27"/>
  <c r="G49" i="27"/>
  <c r="C48" i="27"/>
  <c r="H48" i="27" s="1"/>
  <c r="C47" i="27"/>
  <c r="H47" i="27" s="1"/>
  <c r="C46" i="27"/>
  <c r="H46" i="27" s="1"/>
  <c r="C45" i="27"/>
  <c r="H45" i="27" s="1"/>
  <c r="C44" i="27"/>
  <c r="H44" i="27" s="1"/>
  <c r="C43" i="27"/>
  <c r="H43" i="27" s="1"/>
  <c r="C42" i="27"/>
  <c r="H42" i="27" s="1"/>
  <c r="C41" i="27"/>
  <c r="G41" i="27" s="1"/>
  <c r="C40" i="27"/>
  <c r="G40" i="27" s="1"/>
  <c r="C39" i="27"/>
  <c r="G39" i="27" s="1"/>
  <c r="C38" i="27"/>
  <c r="H38" i="27" s="1"/>
  <c r="C37" i="27"/>
  <c r="G37" i="27" s="1"/>
  <c r="H36" i="27"/>
  <c r="H35" i="27"/>
  <c r="H34" i="27"/>
  <c r="H33" i="27"/>
  <c r="H32" i="27"/>
  <c r="G32" i="27"/>
  <c r="H31" i="27"/>
  <c r="G31" i="27"/>
  <c r="H30" i="27"/>
  <c r="G30" i="27"/>
  <c r="H29" i="27"/>
  <c r="G29" i="27"/>
  <c r="H28" i="27"/>
  <c r="G28" i="27"/>
  <c r="H27" i="27"/>
  <c r="G27" i="27"/>
  <c r="H26" i="27"/>
  <c r="G26" i="27"/>
  <c r="H25" i="27"/>
  <c r="G25" i="27"/>
  <c r="H24" i="27"/>
  <c r="G24" i="27"/>
  <c r="H23" i="27"/>
  <c r="G23" i="27"/>
  <c r="H22" i="27"/>
  <c r="G22" i="27"/>
  <c r="H21" i="27"/>
  <c r="G21" i="27"/>
  <c r="H20" i="27"/>
  <c r="G20" i="27"/>
  <c r="H19" i="27"/>
  <c r="G19" i="27"/>
  <c r="H18" i="27"/>
  <c r="G18" i="27"/>
  <c r="H17" i="27"/>
  <c r="G17" i="27"/>
  <c r="H16" i="27"/>
  <c r="G16" i="27"/>
  <c r="H15" i="27"/>
  <c r="G15" i="27"/>
  <c r="H14" i="27"/>
  <c r="G14" i="27"/>
  <c r="H13" i="27"/>
  <c r="G13" i="27"/>
  <c r="H12" i="27"/>
  <c r="G12" i="27"/>
  <c r="H11" i="27"/>
  <c r="G11" i="27"/>
  <c r="H10" i="27"/>
  <c r="G10" i="27"/>
  <c r="H9" i="27"/>
  <c r="G9" i="27"/>
  <c r="H8" i="27"/>
  <c r="G8" i="27"/>
  <c r="C4" i="27"/>
  <c r="H51" i="26"/>
  <c r="G51" i="26"/>
  <c r="H50" i="26"/>
  <c r="G50" i="26"/>
  <c r="H49" i="26"/>
  <c r="G49" i="26"/>
  <c r="H48" i="26"/>
  <c r="G48" i="26"/>
  <c r="C48" i="26"/>
  <c r="G47" i="26"/>
  <c r="C47" i="26"/>
  <c r="G46" i="26"/>
  <c r="C46" i="26"/>
  <c r="G45" i="26"/>
  <c r="C45" i="26"/>
  <c r="G44" i="26"/>
  <c r="C44" i="26"/>
  <c r="H43" i="26"/>
  <c r="G43" i="26"/>
  <c r="C43" i="26"/>
  <c r="H42" i="26"/>
  <c r="G42" i="26"/>
  <c r="C42" i="26"/>
  <c r="G41" i="26"/>
  <c r="C41" i="26"/>
  <c r="G40" i="26"/>
  <c r="C40" i="26"/>
  <c r="G39" i="26"/>
  <c r="C39" i="26"/>
  <c r="G38" i="26"/>
  <c r="C38" i="26"/>
  <c r="H37" i="26"/>
  <c r="G37" i="26"/>
  <c r="G36" i="26"/>
  <c r="G35" i="26"/>
  <c r="G34" i="26"/>
  <c r="G33" i="26"/>
  <c r="H32" i="26"/>
  <c r="G32" i="26"/>
  <c r="H31" i="26"/>
  <c r="G31" i="26"/>
  <c r="H30" i="26"/>
  <c r="G30" i="26"/>
  <c r="H29" i="26"/>
  <c r="G29" i="26"/>
  <c r="H28" i="26"/>
  <c r="G28" i="26"/>
  <c r="H27" i="26"/>
  <c r="G27" i="26"/>
  <c r="H26" i="26"/>
  <c r="G26" i="26"/>
  <c r="H25" i="26"/>
  <c r="G25" i="26"/>
  <c r="H24" i="26"/>
  <c r="G24" i="26"/>
  <c r="H23" i="26"/>
  <c r="G23" i="26"/>
  <c r="H22" i="26"/>
  <c r="G22" i="26"/>
  <c r="H21" i="26"/>
  <c r="G21" i="26"/>
  <c r="H20" i="26"/>
  <c r="G20" i="26"/>
  <c r="H19" i="26"/>
  <c r="G19" i="26"/>
  <c r="H18" i="26"/>
  <c r="G18" i="26"/>
  <c r="H17" i="26"/>
  <c r="G17" i="26"/>
  <c r="H16" i="26"/>
  <c r="G16" i="26"/>
  <c r="H15" i="26"/>
  <c r="G15" i="26"/>
  <c r="H14" i="26"/>
  <c r="G14" i="26"/>
  <c r="H13" i="26"/>
  <c r="G13" i="26"/>
  <c r="H12" i="26"/>
  <c r="G12" i="26"/>
  <c r="H11" i="26"/>
  <c r="G11" i="26"/>
  <c r="H10" i="26"/>
  <c r="G10" i="26"/>
  <c r="H9" i="26"/>
  <c r="G9" i="26"/>
  <c r="H8" i="26"/>
  <c r="G8" i="26"/>
  <c r="C4" i="26"/>
  <c r="AF46" i="41"/>
  <c r="BL46" i="41" s="1"/>
  <c r="F46" i="41"/>
  <c r="AL46" i="41" s="1"/>
  <c r="AI45" i="41"/>
  <c r="BO45" i="41" s="1"/>
  <c r="AH45" i="41"/>
  <c r="BN45" i="41" s="1"/>
  <c r="AG45" i="41"/>
  <c r="BM45" i="41" s="1"/>
  <c r="AF45" i="41"/>
  <c r="BL45" i="41" s="1"/>
  <c r="Z45" i="41"/>
  <c r="BF45" i="41" s="1"/>
  <c r="Y45" i="41"/>
  <c r="BE45" i="41" s="1"/>
  <c r="X45" i="41"/>
  <c r="BD45" i="41" s="1"/>
  <c r="W45" i="41"/>
  <c r="BC45" i="41" s="1"/>
  <c r="V45" i="41"/>
  <c r="BB45" i="41" s="1"/>
  <c r="U45" i="41"/>
  <c r="BA45" i="41" s="1"/>
  <c r="T45" i="41"/>
  <c r="AZ45" i="41" s="1"/>
  <c r="S45" i="41"/>
  <c r="AY45" i="41" s="1"/>
  <c r="R45" i="41"/>
  <c r="AX45" i="41" s="1"/>
  <c r="Q45" i="41"/>
  <c r="AW45" i="41" s="1"/>
  <c r="P45" i="41"/>
  <c r="AV45" i="41" s="1"/>
  <c r="O45" i="41"/>
  <c r="AU45" i="41" s="1"/>
  <c r="N45" i="41"/>
  <c r="AT45" i="41" s="1"/>
  <c r="M45" i="41"/>
  <c r="AS45" i="41" s="1"/>
  <c r="L45" i="41"/>
  <c r="AR45" i="41" s="1"/>
  <c r="K45" i="41"/>
  <c r="AQ45" i="41" s="1"/>
  <c r="J45" i="41"/>
  <c r="AP45" i="41" s="1"/>
  <c r="I45" i="41"/>
  <c r="AO45" i="41" s="1"/>
  <c r="H45" i="41"/>
  <c r="AN45" i="41" s="1"/>
  <c r="G45" i="41"/>
  <c r="AM45" i="41" s="1"/>
  <c r="F45" i="41"/>
  <c r="AL45" i="41" s="1"/>
  <c r="AK8" i="41"/>
  <c r="E8" i="41"/>
  <c r="E16" i="41" s="1"/>
  <c r="BL7" i="41"/>
  <c r="AL7" i="41"/>
  <c r="AG7" i="41"/>
  <c r="AH7" i="41" s="1"/>
  <c r="G7" i="41"/>
  <c r="G46" i="41" s="1"/>
  <c r="AM46" i="41" s="1"/>
  <c r="AF6" i="41"/>
  <c r="BL6" i="41" s="1"/>
  <c r="F6" i="41"/>
  <c r="AL6" i="41" s="1"/>
  <c r="AF46" i="30"/>
  <c r="BL46" i="30" s="1"/>
  <c r="F46" i="30"/>
  <c r="AL46" i="30" s="1"/>
  <c r="AI45" i="30"/>
  <c r="BO45" i="30" s="1"/>
  <c r="AH45" i="30"/>
  <c r="BN45" i="30" s="1"/>
  <c r="AG45" i="30"/>
  <c r="BM45" i="30" s="1"/>
  <c r="AF45" i="30"/>
  <c r="BL45" i="30" s="1"/>
  <c r="Z45" i="30"/>
  <c r="BF45" i="30" s="1"/>
  <c r="Y45" i="30"/>
  <c r="BE45" i="30" s="1"/>
  <c r="X45" i="30"/>
  <c r="BD45" i="30" s="1"/>
  <c r="W45" i="30"/>
  <c r="BC45" i="30" s="1"/>
  <c r="V45" i="30"/>
  <c r="BB45" i="30" s="1"/>
  <c r="U45" i="30"/>
  <c r="BA45" i="30" s="1"/>
  <c r="T45" i="30"/>
  <c r="AZ45" i="30" s="1"/>
  <c r="S45" i="30"/>
  <c r="AY45" i="30" s="1"/>
  <c r="R45" i="30"/>
  <c r="AX45" i="30" s="1"/>
  <c r="Q45" i="30"/>
  <c r="AW45" i="30" s="1"/>
  <c r="P45" i="30"/>
  <c r="AV45" i="30" s="1"/>
  <c r="O45" i="30"/>
  <c r="AU45" i="30" s="1"/>
  <c r="N45" i="30"/>
  <c r="AT45" i="30" s="1"/>
  <c r="M45" i="30"/>
  <c r="AS45" i="30" s="1"/>
  <c r="L45" i="30"/>
  <c r="AR45" i="30" s="1"/>
  <c r="K45" i="30"/>
  <c r="AQ45" i="30" s="1"/>
  <c r="J45" i="30"/>
  <c r="AP45" i="30" s="1"/>
  <c r="I45" i="30"/>
  <c r="AO45" i="30" s="1"/>
  <c r="H45" i="30"/>
  <c r="AN45" i="30" s="1"/>
  <c r="G45" i="30"/>
  <c r="AM45" i="30" s="1"/>
  <c r="F45" i="30"/>
  <c r="AL45" i="30" s="1"/>
  <c r="AK8" i="30"/>
  <c r="AK29" i="30" s="1"/>
  <c r="E8" i="30"/>
  <c r="E16" i="30" s="1"/>
  <c r="BL7" i="30"/>
  <c r="AL7" i="30"/>
  <c r="AG7" i="30"/>
  <c r="AG46" i="30" s="1"/>
  <c r="BM46" i="30" s="1"/>
  <c r="G7" i="30"/>
  <c r="AM7" i="30" s="1"/>
  <c r="AF6" i="30"/>
  <c r="BL6" i="30" s="1"/>
  <c r="F6" i="30"/>
  <c r="AL6" i="30" s="1"/>
  <c r="D53" i="29"/>
  <c r="D52" i="29"/>
  <c r="BO44" i="29"/>
  <c r="BN44" i="29"/>
  <c r="BM44" i="29"/>
  <c r="BL44" i="29"/>
  <c r="BF44" i="29"/>
  <c r="BE44" i="29"/>
  <c r="BD44" i="29"/>
  <c r="BC44" i="29"/>
  <c r="BB44" i="29"/>
  <c r="BA44" i="29"/>
  <c r="AZ44" i="29"/>
  <c r="AY44" i="29"/>
  <c r="AX44" i="29"/>
  <c r="AW44" i="29"/>
  <c r="AV44" i="29"/>
  <c r="AU44" i="29"/>
  <c r="AT44" i="29"/>
  <c r="AS44" i="29"/>
  <c r="AR44" i="29"/>
  <c r="AQ44" i="29"/>
  <c r="AP44" i="29"/>
  <c r="AO44" i="29"/>
  <c r="AN44" i="29"/>
  <c r="AM44" i="29"/>
  <c r="AL44" i="29"/>
  <c r="AK8" i="29"/>
  <c r="AL8" i="29" s="1"/>
  <c r="AI8" i="29"/>
  <c r="AI29" i="29" s="1"/>
  <c r="AH8" i="29"/>
  <c r="AH16" i="29" s="1"/>
  <c r="AG8" i="29"/>
  <c r="AG16" i="29" s="1"/>
  <c r="AF8" i="29"/>
  <c r="AF29" i="29" s="1"/>
  <c r="Z8" i="29"/>
  <c r="Z29" i="29" s="1"/>
  <c r="Y8" i="29"/>
  <c r="Y29" i="29" s="1"/>
  <c r="X8" i="29"/>
  <c r="X29" i="29" s="1"/>
  <c r="W8" i="29"/>
  <c r="W29" i="29" s="1"/>
  <c r="V8" i="29"/>
  <c r="V29" i="29" s="1"/>
  <c r="U8" i="29"/>
  <c r="U29" i="29" s="1"/>
  <c r="T8" i="29"/>
  <c r="T16" i="29" s="1"/>
  <c r="S8" i="29"/>
  <c r="S29" i="29" s="1"/>
  <c r="R8" i="29"/>
  <c r="R16" i="29" s="1"/>
  <c r="Q8" i="29"/>
  <c r="Q29" i="29" s="1"/>
  <c r="P8" i="29"/>
  <c r="P29" i="29" s="1"/>
  <c r="O8" i="29"/>
  <c r="O29" i="29" s="1"/>
  <c r="N8" i="29"/>
  <c r="N29" i="29" s="1"/>
  <c r="M8" i="29"/>
  <c r="M16" i="29" s="1"/>
  <c r="L8" i="29"/>
  <c r="L16" i="29" s="1"/>
  <c r="K8" i="29"/>
  <c r="K29" i="29" s="1"/>
  <c r="J8" i="29"/>
  <c r="J29" i="29" s="1"/>
  <c r="I8" i="29"/>
  <c r="I29" i="29" s="1"/>
  <c r="H8" i="29"/>
  <c r="H29" i="29" s="1"/>
  <c r="G8" i="29"/>
  <c r="G29" i="29" s="1"/>
  <c r="F8" i="29"/>
  <c r="F29" i="29" s="1"/>
  <c r="E8" i="29"/>
  <c r="AG7" i="29"/>
  <c r="G7" i="29"/>
  <c r="AF6" i="29"/>
  <c r="BL6" i="29" s="1"/>
  <c r="G6" i="29"/>
  <c r="F6" i="29"/>
  <c r="E56" i="32"/>
  <c r="D56" i="32"/>
  <c r="Q45" i="32"/>
  <c r="P45" i="32"/>
  <c r="M45" i="32"/>
  <c r="L45" i="32"/>
  <c r="I45" i="32"/>
  <c r="H45" i="32"/>
  <c r="E45" i="32"/>
  <c r="D45" i="32"/>
  <c r="E23" i="32"/>
  <c r="D23" i="32"/>
  <c r="Q12" i="32"/>
  <c r="P12" i="32"/>
  <c r="M12" i="32"/>
  <c r="L12" i="32"/>
  <c r="I12" i="32"/>
  <c r="H12" i="32"/>
  <c r="E12" i="32"/>
  <c r="D12" i="32"/>
  <c r="N58" i="36"/>
  <c r="M58" i="36"/>
  <c r="E58" i="36"/>
  <c r="D58" i="36"/>
  <c r="M51" i="36"/>
  <c r="D51" i="36"/>
  <c r="D38" i="30" s="1"/>
  <c r="AA38" i="30" s="1"/>
  <c r="AA40" i="30" s="1"/>
  <c r="N42" i="36"/>
  <c r="N30" i="36"/>
  <c r="E30" i="36"/>
  <c r="Q22" i="36"/>
  <c r="Q30" i="36" s="1"/>
  <c r="P22" i="36"/>
  <c r="P30" i="36" s="1"/>
  <c r="O22" i="36"/>
  <c r="O42" i="36" s="1"/>
  <c r="N22" i="36"/>
  <c r="H22" i="36"/>
  <c r="H42" i="36" s="1"/>
  <c r="G22" i="36"/>
  <c r="G42" i="36" s="1"/>
  <c r="F22" i="36"/>
  <c r="F30" i="36" s="1"/>
  <c r="E22" i="36"/>
  <c r="E42" i="36" s="1"/>
  <c r="M20" i="36"/>
  <c r="L20" i="36"/>
  <c r="L19" i="36"/>
  <c r="L18" i="36"/>
  <c r="D18" i="36"/>
  <c r="M18" i="36" s="1"/>
  <c r="L17" i="36"/>
  <c r="L16" i="36"/>
  <c r="P15" i="36"/>
  <c r="N15" i="36"/>
  <c r="L15" i="36"/>
  <c r="H15" i="36"/>
  <c r="N14" i="36"/>
  <c r="H14" i="36"/>
  <c r="P14" i="36" s="1"/>
  <c r="N13" i="36"/>
  <c r="N12" i="36"/>
  <c r="N11" i="36"/>
  <c r="N10" i="36"/>
  <c r="L10" i="36"/>
  <c r="H10" i="36"/>
  <c r="P10" i="36" s="1"/>
  <c r="D9" i="36"/>
  <c r="M9" i="36" s="1"/>
  <c r="B9" i="36"/>
  <c r="K9" i="36" s="1"/>
  <c r="K8" i="36"/>
  <c r="D8" i="36"/>
  <c r="M8" i="36" s="1"/>
  <c r="K4" i="36"/>
  <c r="L40" i="1"/>
  <c r="L33" i="1" s="1"/>
  <c r="BL21" i="41" s="1"/>
  <c r="K40" i="1"/>
  <c r="K33" i="1" s="1"/>
  <c r="BO20" i="41" s="1"/>
  <c r="J40" i="1"/>
  <c r="J33" i="1" s="1"/>
  <c r="BN19" i="41" s="1"/>
  <c r="I40" i="1"/>
  <c r="I33" i="1" s="1"/>
  <c r="H13" i="36" s="1"/>
  <c r="H40" i="1"/>
  <c r="H33" i="1" s="1"/>
  <c r="H12" i="36" s="1"/>
  <c r="G40" i="1"/>
  <c r="G33" i="1" s="1"/>
  <c r="H11" i="36" s="1"/>
  <c r="G47" i="27" l="1"/>
  <c r="G36" i="27"/>
  <c r="H41" i="27"/>
  <c r="G33" i="27"/>
  <c r="G44" i="27"/>
  <c r="G45" i="27"/>
  <c r="H37" i="27"/>
  <c r="G48" i="27"/>
  <c r="G43" i="27"/>
  <c r="H39" i="27"/>
  <c r="G35" i="27"/>
  <c r="H40" i="27"/>
  <c r="G42" i="27"/>
  <c r="G38" i="27"/>
  <c r="G34" i="27"/>
  <c r="G46" i="27"/>
  <c r="E16" i="29"/>
  <c r="E29" i="29"/>
  <c r="D38" i="41"/>
  <c r="D17" i="36"/>
  <c r="M17" i="36" s="1"/>
  <c r="D51" i="29"/>
  <c r="X41" i="29" s="1"/>
  <c r="U41" i="29"/>
  <c r="AA41" i="29"/>
  <c r="S41" i="29"/>
  <c r="F7" i="2"/>
  <c r="E12" i="2"/>
  <c r="D50" i="29"/>
  <c r="BL20" i="41"/>
  <c r="M40" i="1"/>
  <c r="BO19" i="41"/>
  <c r="BM21" i="41"/>
  <c r="BN21" i="41"/>
  <c r="BO21" i="41"/>
  <c r="P11" i="36"/>
  <c r="BL19" i="41"/>
  <c r="BM19" i="41"/>
  <c r="P12" i="36"/>
  <c r="BM20" i="41"/>
  <c r="BN20" i="41"/>
  <c r="P13" i="36"/>
  <c r="H7" i="29"/>
  <c r="AN7" i="29" s="1"/>
  <c r="AM7" i="29"/>
  <c r="AG6" i="29"/>
  <c r="BM6" i="29" s="1"/>
  <c r="BJ7" i="29"/>
  <c r="AD6" i="29"/>
  <c r="BJ6" i="29" s="1"/>
  <c r="AE7" i="29"/>
  <c r="N16" i="29"/>
  <c r="AG6" i="41"/>
  <c r="BM6" i="41" s="1"/>
  <c r="AE7" i="41"/>
  <c r="AD46" i="41"/>
  <c r="AD6" i="41"/>
  <c r="G46" i="30"/>
  <c r="AM46" i="30" s="1"/>
  <c r="G6" i="30"/>
  <c r="AM6" i="30" s="1"/>
  <c r="AG6" i="30"/>
  <c r="BM6" i="30" s="1"/>
  <c r="BM7" i="30"/>
  <c r="F8" i="30"/>
  <c r="G8" i="30" s="1"/>
  <c r="H7" i="30"/>
  <c r="H6" i="30"/>
  <c r="AN6" i="30" s="1"/>
  <c r="AH7" i="30"/>
  <c r="H46" i="30"/>
  <c r="AN46" i="30" s="1"/>
  <c r="F16" i="29"/>
  <c r="R29" i="29"/>
  <c r="T29" i="29"/>
  <c r="L29" i="29"/>
  <c r="M29" i="29"/>
  <c r="AG29" i="29"/>
  <c r="AH7" i="29"/>
  <c r="AH29" i="29"/>
  <c r="V16" i="29"/>
  <c r="AL6" i="29"/>
  <c r="AM6" i="29"/>
  <c r="AI16" i="29"/>
  <c r="G6" i="41"/>
  <c r="AM6" i="41" s="1"/>
  <c r="H7" i="41"/>
  <c r="AM7" i="41"/>
  <c r="BM7" i="41"/>
  <c r="AI7" i="41"/>
  <c r="AH46" i="41"/>
  <c r="BN46" i="41" s="1"/>
  <c r="AH6" i="41"/>
  <c r="BN6" i="41" s="1"/>
  <c r="BN7" i="41"/>
  <c r="AG46" i="41"/>
  <c r="BM46" i="41" s="1"/>
  <c r="H6" i="41"/>
  <c r="AN6" i="41" s="1"/>
  <c r="L73" i="2"/>
  <c r="M73" i="2"/>
  <c r="N73" i="2"/>
  <c r="O73" i="2"/>
  <c r="K73" i="2"/>
  <c r="H8" i="30"/>
  <c r="G29" i="30"/>
  <c r="G16" i="30"/>
  <c r="P42" i="36"/>
  <c r="P16" i="29"/>
  <c r="E29" i="41"/>
  <c r="O16" i="29"/>
  <c r="Q16" i="29"/>
  <c r="E29" i="30"/>
  <c r="S16" i="29"/>
  <c r="F8" i="41"/>
  <c r="G30" i="36"/>
  <c r="U16" i="29"/>
  <c r="G16" i="29"/>
  <c r="W16" i="29"/>
  <c r="H16" i="29"/>
  <c r="X16" i="29"/>
  <c r="I16" i="29"/>
  <c r="Y16" i="29"/>
  <c r="J16" i="29"/>
  <c r="Z16" i="29"/>
  <c r="K16" i="29"/>
  <c r="AF16" i="29"/>
  <c r="Q42" i="36"/>
  <c r="H30" i="36"/>
  <c r="O30" i="36"/>
  <c r="F42" i="36"/>
  <c r="AK29" i="41"/>
  <c r="AK16" i="41"/>
  <c r="AL29" i="29"/>
  <c r="AM8" i="29"/>
  <c r="AK29" i="29"/>
  <c r="AK16" i="29"/>
  <c r="AL16" i="29"/>
  <c r="AL8" i="41"/>
  <c r="AL8" i="30"/>
  <c r="AK16" i="30"/>
  <c r="D49" i="29"/>
  <c r="D16" i="36"/>
  <c r="M16" i="36" s="1"/>
  <c r="G23" i="1"/>
  <c r="E13" i="2"/>
  <c r="D19" i="36"/>
  <c r="M19" i="36" s="1"/>
  <c r="B68" i="2"/>
  <c r="L87" i="2" s="1"/>
  <c r="K87" i="2" s="1"/>
  <c r="N87" i="2" s="1"/>
  <c r="O87" i="2" s="1"/>
  <c r="B60" i="2"/>
  <c r="L80" i="2" s="1"/>
  <c r="K80" i="2" s="1"/>
  <c r="N80" i="2" s="1"/>
  <c r="O80" i="2" s="1"/>
  <c r="B65" i="2"/>
  <c r="L84" i="2" s="1"/>
  <c r="K84" i="2" s="1"/>
  <c r="N84" i="2" s="1"/>
  <c r="O84" i="2" s="1"/>
  <c r="B70" i="2"/>
  <c r="L90" i="2" s="1"/>
  <c r="K90" i="2" s="1"/>
  <c r="N90" i="2" s="1"/>
  <c r="O90" i="2" s="1"/>
  <c r="B62" i="2"/>
  <c r="L89" i="2" s="1"/>
  <c r="K89" i="2" s="1"/>
  <c r="N89" i="2" s="1"/>
  <c r="O89" i="2" s="1"/>
  <c r="B57" i="2"/>
  <c r="L77" i="2" s="1"/>
  <c r="K77" i="2" s="1"/>
  <c r="B67" i="2"/>
  <c r="L86" i="2" s="1"/>
  <c r="K86" i="2" s="1"/>
  <c r="N86" i="2" s="1"/>
  <c r="O86" i="2" s="1"/>
  <c r="B59" i="2"/>
  <c r="L79" i="2" s="1"/>
  <c r="K79" i="2" s="1"/>
  <c r="B64" i="2"/>
  <c r="L83" i="2" s="1"/>
  <c r="K83" i="2" s="1"/>
  <c r="N83" i="2" s="1"/>
  <c r="O83" i="2" s="1"/>
  <c r="B56" i="2"/>
  <c r="B66" i="2"/>
  <c r="L85" i="2" s="1"/>
  <c r="K85" i="2" s="1"/>
  <c r="N85" i="2" s="1"/>
  <c r="O85" i="2" s="1"/>
  <c r="B58" i="2"/>
  <c r="L78" i="2" s="1"/>
  <c r="K78" i="2" s="1"/>
  <c r="B63" i="2"/>
  <c r="L82" i="2" s="1"/>
  <c r="K82" i="2" s="1"/>
  <c r="N82" i="2" s="1"/>
  <c r="O82" i="2" s="1"/>
  <c r="B61" i="2"/>
  <c r="L81" i="2" s="1"/>
  <c r="K81" i="2" s="1"/>
  <c r="N81" i="2" s="1"/>
  <c r="O81" i="2" s="1"/>
  <c r="T41" i="29" l="1"/>
  <c r="W41" i="29"/>
  <c r="K41" i="29"/>
  <c r="AI41" i="29"/>
  <c r="AB41" i="29"/>
  <c r="AH41" i="29"/>
  <c r="M41" i="29"/>
  <c r="L41" i="29"/>
  <c r="F41" i="29"/>
  <c r="AL41" i="29" s="1"/>
  <c r="AC41" i="29"/>
  <c r="AG40" i="29"/>
  <c r="AG11" i="29" s="1"/>
  <c r="V41" i="29"/>
  <c r="N41" i="29"/>
  <c r="AF40" i="29"/>
  <c r="AF25" i="29" s="1"/>
  <c r="G41" i="29"/>
  <c r="AD41" i="29"/>
  <c r="H41" i="29"/>
  <c r="O41" i="29"/>
  <c r="I41" i="29"/>
  <c r="AE41" i="29"/>
  <c r="AC40" i="29"/>
  <c r="Y41" i="29"/>
  <c r="P41" i="29"/>
  <c r="F40" i="29"/>
  <c r="AA40" i="29"/>
  <c r="BG40" i="29" s="1"/>
  <c r="J41" i="29"/>
  <c r="AF41" i="29"/>
  <c r="G40" i="29"/>
  <c r="G33" i="29" s="1"/>
  <c r="AB40" i="29"/>
  <c r="Z41" i="29"/>
  <c r="Q41" i="29"/>
  <c r="R41" i="29"/>
  <c r="AG41" i="29"/>
  <c r="F24" i="29"/>
  <c r="F25" i="29"/>
  <c r="AL40" i="29"/>
  <c r="AL25" i="29" s="1"/>
  <c r="AL25" i="30" s="1"/>
  <c r="F33" i="29"/>
  <c r="AF24" i="29"/>
  <c r="G10" i="29"/>
  <c r="G10" i="41" s="1"/>
  <c r="F16" i="30"/>
  <c r="F29" i="30"/>
  <c r="H6" i="29"/>
  <c r="I7" i="29"/>
  <c r="AO7" i="29" s="1"/>
  <c r="AD40" i="29"/>
  <c r="AE6" i="29"/>
  <c r="BK7" i="29"/>
  <c r="B73" i="2"/>
  <c r="D10" i="2" s="1"/>
  <c r="AC38" i="29"/>
  <c r="BI38" i="29" s="1"/>
  <c r="AE39" i="29"/>
  <c r="BK39" i="29" s="1"/>
  <c r="AE38" i="29"/>
  <c r="BK38" i="29" s="1"/>
  <c r="F32" i="29"/>
  <c r="F10" i="29"/>
  <c r="F31" i="29"/>
  <c r="F23" i="29"/>
  <c r="F12" i="29"/>
  <c r="F18" i="29"/>
  <c r="F18" i="41" s="1"/>
  <c r="F22" i="29"/>
  <c r="G32" i="29"/>
  <c r="G32" i="41" s="1"/>
  <c r="BL40" i="29"/>
  <c r="BL21" i="29" s="1"/>
  <c r="BL21" i="30" s="1"/>
  <c r="AE46" i="41"/>
  <c r="AE6" i="41"/>
  <c r="AN7" i="30"/>
  <c r="I7" i="30"/>
  <c r="AI7" i="30"/>
  <c r="AH46" i="30"/>
  <c r="BN46" i="30" s="1"/>
  <c r="AH6" i="30"/>
  <c r="BN6" i="30" s="1"/>
  <c r="BN7" i="30"/>
  <c r="AD38" i="29"/>
  <c r="BJ38" i="29" s="1"/>
  <c r="AA39" i="29"/>
  <c r="BG39" i="29" s="1"/>
  <c r="AB39" i="29"/>
  <c r="BH39" i="29" s="1"/>
  <c r="AD39" i="29"/>
  <c r="BJ39" i="29" s="1"/>
  <c r="AC39" i="29"/>
  <c r="BI39" i="29" s="1"/>
  <c r="AB38" i="29"/>
  <c r="BH38" i="29" s="1"/>
  <c r="AA38" i="29"/>
  <c r="BG38" i="29" s="1"/>
  <c r="AL31" i="29"/>
  <c r="AL31" i="41" s="1"/>
  <c r="AF32" i="29"/>
  <c r="AF23" i="29"/>
  <c r="AF31" i="29"/>
  <c r="AF12" i="29"/>
  <c r="AF21" i="29"/>
  <c r="BL12" i="29"/>
  <c r="AF19" i="29"/>
  <c r="AF20" i="29"/>
  <c r="AI7" i="29"/>
  <c r="AH6" i="29"/>
  <c r="H40" i="29"/>
  <c r="H33" i="29" s="1"/>
  <c r="AN6" i="29"/>
  <c r="J7" i="29"/>
  <c r="AP7" i="29" s="1"/>
  <c r="I6" i="29"/>
  <c r="I39" i="29" s="1"/>
  <c r="AO39" i="29" s="1"/>
  <c r="BM40" i="29"/>
  <c r="AG31" i="29"/>
  <c r="AG21" i="29"/>
  <c r="AG12" i="29"/>
  <c r="AG20" i="29"/>
  <c r="AG23" i="29"/>
  <c r="AG32" i="29"/>
  <c r="AG22" i="29"/>
  <c r="AG18" i="29"/>
  <c r="AG19" i="29"/>
  <c r="I7" i="41"/>
  <c r="H46" i="41"/>
  <c r="AN46" i="41" s="1"/>
  <c r="AN7" i="41"/>
  <c r="AI6" i="41"/>
  <c r="BO6" i="41" s="1"/>
  <c r="BO7" i="41"/>
  <c r="AI46" i="41"/>
  <c r="BO46" i="41" s="1"/>
  <c r="F16" i="41"/>
  <c r="G8" i="41"/>
  <c r="F29" i="41"/>
  <c r="H16" i="30"/>
  <c r="I8" i="30"/>
  <c r="H29" i="30"/>
  <c r="AN8" i="29"/>
  <c r="AM29" i="29"/>
  <c r="AM16" i="29"/>
  <c r="AM8" i="41"/>
  <c r="AL29" i="41"/>
  <c r="AL16" i="41"/>
  <c r="AM8" i="30"/>
  <c r="AL29" i="30"/>
  <c r="AL16" i="30"/>
  <c r="F39" i="29"/>
  <c r="H38" i="29"/>
  <c r="AN38" i="29" s="1"/>
  <c r="F38" i="29"/>
  <c r="AG39" i="29"/>
  <c r="BM39" i="29" s="1"/>
  <c r="G38" i="29"/>
  <c r="AM38" i="29" s="1"/>
  <c r="AF38" i="29"/>
  <c r="G39" i="29"/>
  <c r="AM39" i="29" s="1"/>
  <c r="AF39" i="29"/>
  <c r="AG38" i="29"/>
  <c r="BM38" i="29" s="1"/>
  <c r="H39" i="29"/>
  <c r="AN39" i="29" s="1"/>
  <c r="AH38" i="29"/>
  <c r="BN38" i="29" s="1"/>
  <c r="P8" i="32"/>
  <c r="P11" i="32" s="1"/>
  <c r="P41" i="32"/>
  <c r="P44" i="32" s="1"/>
  <c r="N78" i="2"/>
  <c r="O78" i="2" s="1"/>
  <c r="L41" i="32"/>
  <c r="L44" i="32" s="1"/>
  <c r="L8" i="32"/>
  <c r="L11" i="32" s="1"/>
  <c r="N79" i="2"/>
  <c r="O79" i="2" s="1"/>
  <c r="N77" i="2"/>
  <c r="O77" i="2" s="1"/>
  <c r="H8" i="32"/>
  <c r="H11" i="32" s="1"/>
  <c r="H41" i="32"/>
  <c r="H44" i="32" s="1"/>
  <c r="G21" i="1" l="1"/>
  <c r="D2" i="32" s="1"/>
  <c r="AA2" i="1"/>
  <c r="AF25" i="41"/>
  <c r="AF25" i="30"/>
  <c r="F25" i="30"/>
  <c r="F25" i="41"/>
  <c r="G33" i="30"/>
  <c r="G33" i="41"/>
  <c r="AG11" i="41"/>
  <c r="AG11" i="30"/>
  <c r="BH40" i="29"/>
  <c r="AB25" i="29"/>
  <c r="AB18" i="29"/>
  <c r="AB12" i="29"/>
  <c r="AB10" i="29"/>
  <c r="AB24" i="29"/>
  <c r="AB32" i="29"/>
  <c r="AB23" i="29"/>
  <c r="AB31" i="29"/>
  <c r="AB22" i="29"/>
  <c r="AB33" i="29"/>
  <c r="AM40" i="29"/>
  <c r="AM25" i="29" s="1"/>
  <c r="AM25" i="30" s="1"/>
  <c r="G18" i="29"/>
  <c r="G18" i="41" s="1"/>
  <c r="G24" i="29"/>
  <c r="AL18" i="29"/>
  <c r="AL18" i="41" s="1"/>
  <c r="G12" i="29"/>
  <c r="AG25" i="29"/>
  <c r="AL24" i="29"/>
  <c r="G23" i="29"/>
  <c r="AG24" i="29"/>
  <c r="AL32" i="29"/>
  <c r="AL32" i="30" s="1"/>
  <c r="G31" i="29"/>
  <c r="G31" i="41" s="1"/>
  <c r="G25" i="29"/>
  <c r="AL12" i="29"/>
  <c r="G22" i="29"/>
  <c r="BI40" i="29"/>
  <c r="AC12" i="29"/>
  <c r="AC10" i="29"/>
  <c r="AC18" i="29"/>
  <c r="AC23" i="29"/>
  <c r="AC31" i="29"/>
  <c r="AC24" i="29"/>
  <c r="AC32" i="29"/>
  <c r="AC25" i="29"/>
  <c r="AC33" i="29"/>
  <c r="AC22" i="29"/>
  <c r="AF11" i="29"/>
  <c r="AL23" i="29"/>
  <c r="AG10" i="29"/>
  <c r="BL20" i="29"/>
  <c r="BL20" i="30" s="1"/>
  <c r="AL33" i="29"/>
  <c r="AL33" i="41" s="1"/>
  <c r="AF18" i="29"/>
  <c r="BL32" i="29"/>
  <c r="BL32" i="30" s="1"/>
  <c r="AF22" i="29"/>
  <c r="BJ40" i="29"/>
  <c r="AD32" i="29"/>
  <c r="AD31" i="29"/>
  <c r="AD10" i="29"/>
  <c r="AD18" i="29"/>
  <c r="AD33" i="29"/>
  <c r="AD24" i="29"/>
  <c r="AD12" i="29"/>
  <c r="AD23" i="29"/>
  <c r="AD22" i="29"/>
  <c r="AD25" i="29"/>
  <c r="AF10" i="29"/>
  <c r="AF10" i="30" s="1"/>
  <c r="BL11" i="29"/>
  <c r="BL11" i="41" s="1"/>
  <c r="BL22" i="29"/>
  <c r="D35" i="32"/>
  <c r="BJ24" i="29"/>
  <c r="F33" i="30"/>
  <c r="F33" i="41"/>
  <c r="E2" i="32"/>
  <c r="E35" i="32"/>
  <c r="H25" i="29"/>
  <c r="H33" i="30"/>
  <c r="H33" i="41"/>
  <c r="AL22" i="29"/>
  <c r="AL25" i="41"/>
  <c r="AL10" i="29"/>
  <c r="AL10" i="41" s="1"/>
  <c r="H24" i="29"/>
  <c r="G10" i="30"/>
  <c r="E11" i="32"/>
  <c r="E44" i="32"/>
  <c r="BJ23" i="29"/>
  <c r="BL33" i="29"/>
  <c r="BL33" i="41" s="1"/>
  <c r="BL18" i="29"/>
  <c r="BL18" i="41" s="1"/>
  <c r="BL10" i="29"/>
  <c r="BL10" i="30" s="1"/>
  <c r="BJ12" i="29"/>
  <c r="AK6" i="29"/>
  <c r="AK40" i="29" s="1"/>
  <c r="AK6" i="41"/>
  <c r="AL39" i="29"/>
  <c r="AL38" i="29"/>
  <c r="AK6" i="30"/>
  <c r="BJ33" i="29"/>
  <c r="BJ33" i="41" s="1"/>
  <c r="BJ25" i="29"/>
  <c r="BJ25" i="41" s="1"/>
  <c r="BJ22" i="29"/>
  <c r="AH39" i="29"/>
  <c r="BN39" i="29" s="1"/>
  <c r="BN6" i="29"/>
  <c r="AI6" i="29"/>
  <c r="BK6" i="29"/>
  <c r="AE40" i="29"/>
  <c r="BJ10" i="29"/>
  <c r="BJ10" i="41" s="1"/>
  <c r="L91" i="2"/>
  <c r="K91" i="2" s="1"/>
  <c r="L42" i="32" s="1"/>
  <c r="AM25" i="41"/>
  <c r="F18" i="30"/>
  <c r="AM22" i="29"/>
  <c r="AM33" i="29"/>
  <c r="AM33" i="30" s="1"/>
  <c r="AM18" i="29"/>
  <c r="AM18" i="30" s="1"/>
  <c r="AM24" i="29"/>
  <c r="BL25" i="29"/>
  <c r="BL25" i="30" s="1"/>
  <c r="G32" i="30"/>
  <c r="BL19" i="29"/>
  <c r="BL19" i="30" s="1"/>
  <c r="BL23" i="29"/>
  <c r="AM23" i="29"/>
  <c r="BL24" i="29"/>
  <c r="BL31" i="29"/>
  <c r="BL31" i="41" s="1"/>
  <c r="AE31" i="30"/>
  <c r="AE31" i="41"/>
  <c r="AE32" i="30"/>
  <c r="AE32" i="41"/>
  <c r="F31" i="41"/>
  <c r="F31" i="30"/>
  <c r="F10" i="41"/>
  <c r="F10" i="30"/>
  <c r="F32" i="41"/>
  <c r="F32" i="30"/>
  <c r="AL31" i="30"/>
  <c r="AO7" i="30"/>
  <c r="I6" i="30"/>
  <c r="AO6" i="30" s="1"/>
  <c r="I46" i="30"/>
  <c r="AO46" i="30" s="1"/>
  <c r="J7" i="30"/>
  <c r="AI6" i="30"/>
  <c r="BO6" i="30" s="1"/>
  <c r="AI46" i="30"/>
  <c r="BO46" i="30" s="1"/>
  <c r="BO7" i="30"/>
  <c r="BL39" i="29"/>
  <c r="BL38" i="29"/>
  <c r="I38" i="29"/>
  <c r="AO38" i="29" s="1"/>
  <c r="AL18" i="30"/>
  <c r="AL33" i="30"/>
  <c r="AL10" i="30"/>
  <c r="AF19" i="30"/>
  <c r="AF19" i="41"/>
  <c r="AF21" i="30"/>
  <c r="AF21" i="41"/>
  <c r="AI38" i="29"/>
  <c r="BO38" i="29" s="1"/>
  <c r="AF31" i="41"/>
  <c r="AF31" i="30"/>
  <c r="AF20" i="41"/>
  <c r="AF20" i="30"/>
  <c r="AF11" i="41"/>
  <c r="AF11" i="30"/>
  <c r="BL32" i="41"/>
  <c r="AF32" i="41"/>
  <c r="AF32" i="30"/>
  <c r="BL11" i="30"/>
  <c r="AG21" i="30"/>
  <c r="AG21" i="41"/>
  <c r="AG20" i="41"/>
  <c r="AG20" i="30"/>
  <c r="BM22" i="29"/>
  <c r="BM21" i="29"/>
  <c r="BM21" i="30" s="1"/>
  <c r="BM18" i="29"/>
  <c r="BM10" i="29"/>
  <c r="BM32" i="29"/>
  <c r="BM24" i="29"/>
  <c r="BM20" i="29"/>
  <c r="BM20" i="30" s="1"/>
  <c r="BM33" i="29"/>
  <c r="BM31" i="29"/>
  <c r="BM19" i="29"/>
  <c r="BM19" i="30" s="1"/>
  <c r="BM11" i="29"/>
  <c r="BM12" i="29"/>
  <c r="BM23" i="29"/>
  <c r="BM25" i="29"/>
  <c r="AG31" i="41"/>
  <c r="AG31" i="30"/>
  <c r="AH40" i="29"/>
  <c r="AI40" i="29"/>
  <c r="J6" i="29"/>
  <c r="K7" i="29"/>
  <c r="AQ7" i="29" s="1"/>
  <c r="I40" i="29"/>
  <c r="AO6" i="29"/>
  <c r="AG19" i="41"/>
  <c r="AG19" i="30"/>
  <c r="AG18" i="30"/>
  <c r="AG18" i="41"/>
  <c r="AN40" i="29"/>
  <c r="H18" i="29"/>
  <c r="H12" i="29"/>
  <c r="H23" i="29"/>
  <c r="H31" i="29"/>
  <c r="H10" i="29"/>
  <c r="H32" i="29"/>
  <c r="H22" i="29"/>
  <c r="AG32" i="41"/>
  <c r="AG32" i="30"/>
  <c r="I46" i="41"/>
  <c r="AO46" i="41" s="1"/>
  <c r="I6" i="41"/>
  <c r="AO6" i="41" s="1"/>
  <c r="J7" i="41"/>
  <c r="AO7" i="41"/>
  <c r="I29" i="30"/>
  <c r="J8" i="30"/>
  <c r="I16" i="30"/>
  <c r="G16" i="41"/>
  <c r="H8" i="41"/>
  <c r="G29" i="41"/>
  <c r="AO8" i="29"/>
  <c r="AN29" i="29"/>
  <c r="AN16" i="29"/>
  <c r="AM29" i="41"/>
  <c r="AM16" i="41"/>
  <c r="AN8" i="41"/>
  <c r="AN8" i="30"/>
  <c r="AM16" i="30"/>
  <c r="AM29" i="30"/>
  <c r="C26" i="32"/>
  <c r="J6" i="32"/>
  <c r="C59" i="32"/>
  <c r="J39" i="32"/>
  <c r="N6" i="32"/>
  <c r="C27" i="32"/>
  <c r="N39" i="32"/>
  <c r="C60" i="32"/>
  <c r="R39" i="32"/>
  <c r="C61" i="32"/>
  <c r="R6" i="32"/>
  <c r="C28" i="32"/>
  <c r="E10" i="2"/>
  <c r="D47" i="29"/>
  <c r="D48" i="29" s="1"/>
  <c r="L93" i="2"/>
  <c r="D10" i="36"/>
  <c r="E2" i="30" l="1"/>
  <c r="AG24" i="30" s="1"/>
  <c r="E2" i="29"/>
  <c r="D11" i="32" s="1"/>
  <c r="E2" i="41"/>
  <c r="BG12" i="41" s="1"/>
  <c r="AL32" i="41"/>
  <c r="G31" i="30"/>
  <c r="G35" i="30" s="1"/>
  <c r="AF10" i="41"/>
  <c r="AL24" i="30"/>
  <c r="BM24" i="30"/>
  <c r="BL24" i="30"/>
  <c r="BJ24" i="30"/>
  <c r="BG24" i="30"/>
  <c r="AM24" i="30"/>
  <c r="F24" i="30"/>
  <c r="AF24" i="30"/>
  <c r="AD24" i="30"/>
  <c r="AB24" i="30"/>
  <c r="AC24" i="30"/>
  <c r="H24" i="30"/>
  <c r="AA24" i="30"/>
  <c r="AL12" i="30"/>
  <c r="AL14" i="30" s="1"/>
  <c r="BM12" i="30"/>
  <c r="BL12" i="30"/>
  <c r="BL14" i="30" s="1"/>
  <c r="BJ12" i="30"/>
  <c r="BG12" i="30"/>
  <c r="BG14" i="30" s="1"/>
  <c r="F12" i="30"/>
  <c r="F14" i="30" s="1"/>
  <c r="AG12" i="30"/>
  <c r="AF12" i="30"/>
  <c r="AF14" i="30" s="1"/>
  <c r="AD12" i="30"/>
  <c r="AC12" i="30"/>
  <c r="AB12" i="30"/>
  <c r="AA12" i="30"/>
  <c r="H12" i="30"/>
  <c r="G12" i="30"/>
  <c r="G14" i="30" s="1"/>
  <c r="AC25" i="41"/>
  <c r="AC25" i="30"/>
  <c r="AB25" i="30"/>
  <c r="AB25" i="41"/>
  <c r="AG25" i="41"/>
  <c r="AG25" i="30"/>
  <c r="G18" i="30"/>
  <c r="AD25" i="30"/>
  <c r="AD25" i="41"/>
  <c r="G25" i="30"/>
  <c r="G25" i="41"/>
  <c r="G35" i="41"/>
  <c r="H25" i="41"/>
  <c r="H25" i="30"/>
  <c r="AC10" i="30"/>
  <c r="AC10" i="41"/>
  <c r="AE18" i="30"/>
  <c r="AE18" i="41"/>
  <c r="AF18" i="41"/>
  <c r="AF18" i="30"/>
  <c r="BI33" i="29"/>
  <c r="BI12" i="29"/>
  <c r="BI12" i="30" s="1"/>
  <c r="BI10" i="29"/>
  <c r="BI23" i="29"/>
  <c r="BI22" i="29"/>
  <c r="BI32" i="29"/>
  <c r="BI31" i="29"/>
  <c r="BI18" i="29"/>
  <c r="BI24" i="29"/>
  <c r="BI25" i="29"/>
  <c r="AB31" i="30"/>
  <c r="AB31" i="41"/>
  <c r="AG10" i="41"/>
  <c r="AG10" i="30"/>
  <c r="AB32" i="41"/>
  <c r="AB32" i="30"/>
  <c r="AB10" i="30"/>
  <c r="AB10" i="41"/>
  <c r="AM31" i="29"/>
  <c r="AM31" i="30" s="1"/>
  <c r="AB18" i="41"/>
  <c r="AB18" i="30"/>
  <c r="AD18" i="41"/>
  <c r="AD18" i="30"/>
  <c r="AC32" i="30"/>
  <c r="AC32" i="41"/>
  <c r="BH22" i="29"/>
  <c r="BH12" i="29"/>
  <c r="BH12" i="30" s="1"/>
  <c r="BH24" i="29"/>
  <c r="BH32" i="29"/>
  <c r="BH18" i="29"/>
  <c r="BH25" i="29"/>
  <c r="BH33" i="29"/>
  <c r="BH23" i="29"/>
  <c r="BH10" i="29"/>
  <c r="BH31" i="29"/>
  <c r="AM12" i="29"/>
  <c r="AD10" i="41"/>
  <c r="AD10" i="30"/>
  <c r="AD31" i="30"/>
  <c r="AD31" i="41"/>
  <c r="AC31" i="41"/>
  <c r="AC35" i="41" s="1"/>
  <c r="AC31" i="30"/>
  <c r="AE10" i="30"/>
  <c r="AD32" i="30"/>
  <c r="AD32" i="41"/>
  <c r="AM10" i="29"/>
  <c r="AM10" i="41" s="1"/>
  <c r="AE25" i="29"/>
  <c r="AE33" i="29"/>
  <c r="AE24" i="29"/>
  <c r="AE24" i="30" s="1"/>
  <c r="AE12" i="29"/>
  <c r="AE10" i="29"/>
  <c r="AE22" i="29"/>
  <c r="AE18" i="29"/>
  <c r="AE23" i="29"/>
  <c r="AE31" i="29"/>
  <c r="AE32" i="29"/>
  <c r="AM32" i="29"/>
  <c r="AM32" i="30" s="1"/>
  <c r="AE10" i="41"/>
  <c r="BJ18" i="29"/>
  <c r="BJ32" i="29"/>
  <c r="BJ31" i="29"/>
  <c r="AC18" i="41"/>
  <c r="AC18" i="30"/>
  <c r="BL33" i="30"/>
  <c r="BL10" i="41"/>
  <c r="BL18" i="30"/>
  <c r="BK40" i="29"/>
  <c r="BK31" i="29" s="1"/>
  <c r="I33" i="29"/>
  <c r="I25" i="29"/>
  <c r="I24" i="29"/>
  <c r="AI10" i="29"/>
  <c r="AI25" i="29"/>
  <c r="AI24" i="29"/>
  <c r="AH24" i="29"/>
  <c r="AH10" i="29"/>
  <c r="AH25" i="29"/>
  <c r="AM18" i="41"/>
  <c r="AM33" i="41"/>
  <c r="BJ25" i="30"/>
  <c r="AK39" i="29"/>
  <c r="AK38" i="29"/>
  <c r="BJ33" i="30"/>
  <c r="F2" i="30"/>
  <c r="E6" i="30"/>
  <c r="BK41" i="29"/>
  <c r="P9" i="32"/>
  <c r="P42" i="32"/>
  <c r="H9" i="32"/>
  <c r="H42" i="32"/>
  <c r="L9" i="32"/>
  <c r="BJ10" i="30"/>
  <c r="BK18" i="29"/>
  <c r="BK10" i="29"/>
  <c r="BK22" i="29"/>
  <c r="AI39" i="29"/>
  <c r="BO39" i="29" s="1"/>
  <c r="BO6" i="29"/>
  <c r="BL25" i="41"/>
  <c r="BL35" i="41"/>
  <c r="AF35" i="30"/>
  <c r="F35" i="41"/>
  <c r="BL31" i="30"/>
  <c r="F35" i="30"/>
  <c r="AE35" i="41"/>
  <c r="AE35" i="30"/>
  <c r="AL35" i="30"/>
  <c r="AL35" i="41"/>
  <c r="AP7" i="30"/>
  <c r="J6" i="30"/>
  <c r="AP6" i="30" s="1"/>
  <c r="J46" i="30"/>
  <c r="AP46" i="30" s="1"/>
  <c r="K7" i="30"/>
  <c r="BG41" i="29"/>
  <c r="BH41" i="29"/>
  <c r="BJ41" i="29"/>
  <c r="BI41" i="29"/>
  <c r="AF35" i="41"/>
  <c r="BM33" i="30"/>
  <c r="BM33" i="41"/>
  <c r="BM10" i="41"/>
  <c r="BM10" i="30"/>
  <c r="BM18" i="41"/>
  <c r="BM18" i="30"/>
  <c r="H10" i="41"/>
  <c r="H10" i="30"/>
  <c r="AN18" i="29"/>
  <c r="AN25" i="29"/>
  <c r="AN23" i="29"/>
  <c r="AN10" i="29"/>
  <c r="AN33" i="29"/>
  <c r="AN31" i="29"/>
  <c r="AN24" i="29"/>
  <c r="AN22" i="29"/>
  <c r="AN32" i="29"/>
  <c r="AN12" i="29"/>
  <c r="AN12" i="30" s="1"/>
  <c r="AO40" i="29"/>
  <c r="I18" i="29"/>
  <c r="I12" i="29"/>
  <c r="I12" i="30" s="1"/>
  <c r="I23" i="29"/>
  <c r="I31" i="29"/>
  <c r="I32" i="29"/>
  <c r="I10" i="29"/>
  <c r="I22" i="29"/>
  <c r="H18" i="41"/>
  <c r="H18" i="30"/>
  <c r="AG35" i="30"/>
  <c r="BM31" i="41"/>
  <c r="BM31" i="30"/>
  <c r="AG35" i="41"/>
  <c r="K6" i="29"/>
  <c r="L7" i="29"/>
  <c r="AR7" i="29" s="1"/>
  <c r="BM25" i="41"/>
  <c r="BM25" i="30"/>
  <c r="BN40" i="29"/>
  <c r="AH21" i="29"/>
  <c r="AH23" i="29"/>
  <c r="AH31" i="29"/>
  <c r="AH20" i="29"/>
  <c r="AH11" i="29"/>
  <c r="AH32" i="29"/>
  <c r="AH22" i="29"/>
  <c r="AH19" i="29"/>
  <c r="AH18" i="29"/>
  <c r="AH12" i="29"/>
  <c r="AH12" i="30" s="1"/>
  <c r="BM32" i="30"/>
  <c r="BM32" i="41"/>
  <c r="H32" i="41"/>
  <c r="H32" i="30"/>
  <c r="J40" i="29"/>
  <c r="AP6" i="29"/>
  <c r="J39" i="29"/>
  <c r="AP39" i="29" s="1"/>
  <c r="J38" i="29"/>
  <c r="AP38" i="29" s="1"/>
  <c r="BO40" i="29"/>
  <c r="AI31" i="29"/>
  <c r="AI21" i="29"/>
  <c r="AI20" i="29"/>
  <c r="AI32" i="29"/>
  <c r="AI22" i="29"/>
  <c r="AI19" i="29"/>
  <c r="AI18" i="29"/>
  <c r="AI12" i="29"/>
  <c r="AI12" i="30" s="1"/>
  <c r="AI23" i="29"/>
  <c r="AI11" i="29"/>
  <c r="H31" i="41"/>
  <c r="H31" i="30"/>
  <c r="BM11" i="41"/>
  <c r="BM11" i="30"/>
  <c r="K7" i="41"/>
  <c r="J46" i="41"/>
  <c r="AP46" i="41" s="1"/>
  <c r="J6" i="41"/>
  <c r="AP6" i="41" s="1"/>
  <c r="AP7" i="41"/>
  <c r="I8" i="41"/>
  <c r="H16" i="41"/>
  <c r="H29" i="41"/>
  <c r="K8" i="30"/>
  <c r="J16" i="30"/>
  <c r="J29" i="30"/>
  <c r="AN29" i="30"/>
  <c r="AN16" i="30"/>
  <c r="AO8" i="30"/>
  <c r="AN29" i="41"/>
  <c r="AN16" i="41"/>
  <c r="AO8" i="41"/>
  <c r="AO29" i="29"/>
  <c r="AO16" i="29"/>
  <c r="AP8" i="29"/>
  <c r="N34" i="36"/>
  <c r="P34" i="36" s="1"/>
  <c r="O34" i="36"/>
  <c r="Q34" i="36" s="1"/>
  <c r="I4" i="36"/>
  <c r="M10" i="36"/>
  <c r="D15" i="36"/>
  <c r="O35" i="36"/>
  <c r="Q35" i="36" s="1"/>
  <c r="N35" i="36"/>
  <c r="P35" i="36" s="1"/>
  <c r="E75" i="36"/>
  <c r="D75" i="36" s="1"/>
  <c r="O33" i="36"/>
  <c r="Q33" i="36" s="1"/>
  <c r="N33" i="36"/>
  <c r="P33" i="36" s="1"/>
  <c r="BA41" i="29"/>
  <c r="AZ41" i="29"/>
  <c r="AX41" i="29"/>
  <c r="AV41" i="29"/>
  <c r="AU41" i="29"/>
  <c r="BO41" i="29"/>
  <c r="AT41" i="29"/>
  <c r="BN41" i="29"/>
  <c r="AS41" i="29"/>
  <c r="BM41" i="29"/>
  <c r="AR41" i="29"/>
  <c r="BE41" i="29"/>
  <c r="AO41" i="29"/>
  <c r="BD41" i="29"/>
  <c r="AN41" i="29"/>
  <c r="AP41" i="29"/>
  <c r="AM41" i="29"/>
  <c r="BF41" i="29"/>
  <c r="BC41" i="29"/>
  <c r="BB41" i="29"/>
  <c r="AY41" i="29"/>
  <c r="AQ41" i="29"/>
  <c r="D9" i="32"/>
  <c r="D42" i="32"/>
  <c r="I24" i="41" l="1"/>
  <c r="AN24" i="41"/>
  <c r="E6" i="29"/>
  <c r="AH24" i="41"/>
  <c r="E6" i="41"/>
  <c r="F2" i="29"/>
  <c r="E21" i="29" s="1"/>
  <c r="D44" i="32"/>
  <c r="BH24" i="41"/>
  <c r="BL24" i="41"/>
  <c r="AD12" i="41"/>
  <c r="AD14" i="41" s="1"/>
  <c r="AB12" i="41"/>
  <c r="AB14" i="41" s="1"/>
  <c r="BL12" i="41"/>
  <c r="BL14" i="41" s="1"/>
  <c r="AI24" i="41"/>
  <c r="F2" i="41"/>
  <c r="E33" i="41" s="1"/>
  <c r="BI24" i="41"/>
  <c r="G24" i="30"/>
  <c r="AC12" i="41"/>
  <c r="AC14" i="41" s="1"/>
  <c r="BJ12" i="41"/>
  <c r="BJ14" i="41" s="1"/>
  <c r="AG12" i="41"/>
  <c r="AG14" i="41" s="1"/>
  <c r="BM12" i="41"/>
  <c r="G12" i="41"/>
  <c r="G14" i="41" s="1"/>
  <c r="AL12" i="41"/>
  <c r="AL14" i="41" s="1"/>
  <c r="F12" i="41"/>
  <c r="F14" i="41" s="1"/>
  <c r="BG24" i="41"/>
  <c r="AF24" i="41"/>
  <c r="BM24" i="41"/>
  <c r="H24" i="41"/>
  <c r="AM24" i="41"/>
  <c r="AM12" i="41"/>
  <c r="AM14" i="41" s="1"/>
  <c r="AA24" i="41"/>
  <c r="BJ24" i="41"/>
  <c r="G24" i="41"/>
  <c r="AL24" i="41"/>
  <c r="AE12" i="41"/>
  <c r="AE14" i="41" s="1"/>
  <c r="AC24" i="41"/>
  <c r="AD24" i="41"/>
  <c r="AB24" i="41"/>
  <c r="H12" i="41"/>
  <c r="F24" i="41"/>
  <c r="AF12" i="41"/>
  <c r="AF14" i="41" s="1"/>
  <c r="AG24" i="41"/>
  <c r="AA12" i="41"/>
  <c r="AE12" i="30"/>
  <c r="AE14" i="30" s="1"/>
  <c r="BH12" i="41"/>
  <c r="AI24" i="30"/>
  <c r="AH24" i="30"/>
  <c r="AH12" i="41"/>
  <c r="BI12" i="41"/>
  <c r="AM12" i="30"/>
  <c r="AN24" i="30"/>
  <c r="AN12" i="41"/>
  <c r="BH24" i="30"/>
  <c r="AM32" i="41"/>
  <c r="AM31" i="41"/>
  <c r="BI24" i="30"/>
  <c r="AI12" i="41"/>
  <c r="I12" i="41"/>
  <c r="AE24" i="41"/>
  <c r="I24" i="30"/>
  <c r="AM35" i="30"/>
  <c r="AG14" i="30"/>
  <c r="AC35" i="30"/>
  <c r="I25" i="30"/>
  <c r="I25" i="41"/>
  <c r="AH25" i="30"/>
  <c r="AH25" i="41"/>
  <c r="AE25" i="30"/>
  <c r="AE25" i="41"/>
  <c r="AI25" i="30"/>
  <c r="AI25" i="41"/>
  <c r="AB14" i="30"/>
  <c r="P14" i="32"/>
  <c r="BL35" i="30"/>
  <c r="BH31" i="30"/>
  <c r="BH31" i="41"/>
  <c r="BI10" i="41"/>
  <c r="BI10" i="30"/>
  <c r="BH10" i="30"/>
  <c r="BH10" i="41"/>
  <c r="BI33" i="30"/>
  <c r="BI33" i="41"/>
  <c r="BK23" i="29"/>
  <c r="BJ31" i="30"/>
  <c r="BJ31" i="41"/>
  <c r="P16" i="32"/>
  <c r="BH33" i="30"/>
  <c r="BH33" i="41"/>
  <c r="BJ32" i="30"/>
  <c r="BJ32" i="41"/>
  <c r="BH25" i="30"/>
  <c r="BH25" i="41"/>
  <c r="BJ18" i="30"/>
  <c r="BJ18" i="41"/>
  <c r="BH18" i="30"/>
  <c r="BH18" i="41"/>
  <c r="BH32" i="41"/>
  <c r="BH32" i="30"/>
  <c r="BK12" i="29"/>
  <c r="AB35" i="41"/>
  <c r="BK24" i="29"/>
  <c r="P47" i="32"/>
  <c r="AB35" i="30"/>
  <c r="BK25" i="29"/>
  <c r="BK25" i="30" s="1"/>
  <c r="AD35" i="41"/>
  <c r="BI25" i="41"/>
  <c r="BI25" i="30"/>
  <c r="AD35" i="30"/>
  <c r="BK33" i="29"/>
  <c r="BK33" i="41" s="1"/>
  <c r="AM10" i="30"/>
  <c r="BK32" i="29"/>
  <c r="BK32" i="30" s="1"/>
  <c r="P49" i="32"/>
  <c r="BI18" i="41"/>
  <c r="BI18" i="30"/>
  <c r="BI31" i="30"/>
  <c r="BI31" i="41"/>
  <c r="AD14" i="30"/>
  <c r="BI32" i="30"/>
  <c r="BI32" i="41"/>
  <c r="AC14" i="30"/>
  <c r="BJ14" i="30"/>
  <c r="D8" i="32"/>
  <c r="C25" i="32" s="1"/>
  <c r="D41" i="32"/>
  <c r="C58" i="32" s="1"/>
  <c r="AH10" i="30"/>
  <c r="AH10" i="41"/>
  <c r="J24" i="29"/>
  <c r="J25" i="29"/>
  <c r="AI10" i="41"/>
  <c r="AI10" i="30"/>
  <c r="I33" i="30"/>
  <c r="E33" i="30" s="1"/>
  <c r="I33" i="41"/>
  <c r="BK31" i="30"/>
  <c r="BK31" i="41"/>
  <c r="BK10" i="30"/>
  <c r="BK10" i="41"/>
  <c r="BK18" i="30"/>
  <c r="BK18" i="41"/>
  <c r="BK22" i="30"/>
  <c r="BK22" i="41"/>
  <c r="AK41" i="29"/>
  <c r="H35" i="41"/>
  <c r="E40" i="29"/>
  <c r="E39" i="29"/>
  <c r="E38" i="29"/>
  <c r="E20" i="29"/>
  <c r="E41" i="29"/>
  <c r="E44" i="29"/>
  <c r="E19" i="29"/>
  <c r="E7" i="29"/>
  <c r="E11" i="29"/>
  <c r="E33" i="29"/>
  <c r="AW41" i="29"/>
  <c r="E7" i="30"/>
  <c r="AK7" i="30" s="1"/>
  <c r="E21" i="30"/>
  <c r="E20" i="30"/>
  <c r="E19" i="30"/>
  <c r="E45" i="30"/>
  <c r="H35" i="30"/>
  <c r="BH22" i="41"/>
  <c r="BI22" i="41"/>
  <c r="BJ22" i="41"/>
  <c r="AE22" i="41"/>
  <c r="AD22" i="41"/>
  <c r="AC22" i="41"/>
  <c r="AB22" i="41"/>
  <c r="BG22" i="30"/>
  <c r="BH22" i="30"/>
  <c r="BJ22" i="30"/>
  <c r="BI22" i="30"/>
  <c r="AE22" i="30"/>
  <c r="AD22" i="30"/>
  <c r="AC22" i="30"/>
  <c r="AB22" i="30"/>
  <c r="AQ7" i="30"/>
  <c r="K46" i="30"/>
  <c r="AQ46" i="30" s="1"/>
  <c r="L7" i="30"/>
  <c r="K6" i="30"/>
  <c r="AQ6" i="30" s="1"/>
  <c r="BL41" i="29"/>
  <c r="BM35" i="30"/>
  <c r="AI31" i="41"/>
  <c r="AI31" i="30"/>
  <c r="AN18" i="30"/>
  <c r="AN18" i="41"/>
  <c r="BO22" i="29"/>
  <c r="BO22" i="30" s="1"/>
  <c r="BO10" i="29"/>
  <c r="BO21" i="29"/>
  <c r="BO21" i="30" s="1"/>
  <c r="BO20" i="29"/>
  <c r="BO20" i="30" s="1"/>
  <c r="BO19" i="29"/>
  <c r="BO19" i="30" s="1"/>
  <c r="BO23" i="29"/>
  <c r="BO18" i="29"/>
  <c r="BO24" i="29"/>
  <c r="BO33" i="29"/>
  <c r="BO32" i="29"/>
  <c r="BO25" i="29"/>
  <c r="BO31" i="29"/>
  <c r="BO11" i="29"/>
  <c r="BO12" i="29"/>
  <c r="AH31" i="41"/>
  <c r="AH31" i="30"/>
  <c r="I32" i="41"/>
  <c r="I32" i="30"/>
  <c r="H14" i="41"/>
  <c r="I10" i="41"/>
  <c r="I10" i="30"/>
  <c r="I31" i="41"/>
  <c r="I31" i="30"/>
  <c r="AH21" i="30"/>
  <c r="AH21" i="41"/>
  <c r="AH20" i="41"/>
  <c r="AH20" i="30"/>
  <c r="BN31" i="29"/>
  <c r="BN11" i="29"/>
  <c r="BN32" i="29"/>
  <c r="BN12" i="29"/>
  <c r="BN25" i="29"/>
  <c r="BN19" i="29"/>
  <c r="BN19" i="30" s="1"/>
  <c r="BN23" i="29"/>
  <c r="BN21" i="29"/>
  <c r="BN21" i="30" s="1"/>
  <c r="BN10" i="29"/>
  <c r="BN22" i="29"/>
  <c r="BN22" i="41" s="1"/>
  <c r="BN24" i="29"/>
  <c r="BN20" i="29"/>
  <c r="BN20" i="30" s="1"/>
  <c r="BN18" i="29"/>
  <c r="BN33" i="29"/>
  <c r="H14" i="30"/>
  <c r="AI21" i="30"/>
  <c r="AI21" i="41"/>
  <c r="AO10" i="29"/>
  <c r="AO32" i="29"/>
  <c r="AO23" i="29"/>
  <c r="AO25" i="29"/>
  <c r="AO22" i="29"/>
  <c r="AO22" i="30" s="1"/>
  <c r="AO33" i="29"/>
  <c r="AO18" i="29"/>
  <c r="AO24" i="29"/>
  <c r="AO12" i="29"/>
  <c r="AO31" i="29"/>
  <c r="AI32" i="41"/>
  <c r="AI32" i="30"/>
  <c r="AP40" i="29"/>
  <c r="J23" i="29"/>
  <c r="J12" i="29"/>
  <c r="J31" i="29"/>
  <c r="J22" i="29"/>
  <c r="J22" i="41" s="1"/>
  <c r="J18" i="29"/>
  <c r="J10" i="29"/>
  <c r="J32" i="29"/>
  <c r="I18" i="41"/>
  <c r="I18" i="30"/>
  <c r="AI11" i="30"/>
  <c r="E11" i="30" s="1"/>
  <c r="AI11" i="41"/>
  <c r="L6" i="29"/>
  <c r="M7" i="29"/>
  <c r="AS7" i="29" s="1"/>
  <c r="AI20" i="41"/>
  <c r="AI20" i="30"/>
  <c r="AN25" i="30"/>
  <c r="AN25" i="41"/>
  <c r="BM14" i="30"/>
  <c r="BM14" i="41"/>
  <c r="AH32" i="41"/>
  <c r="AH32" i="30"/>
  <c r="AI18" i="30"/>
  <c r="AI18" i="41"/>
  <c r="AH11" i="41"/>
  <c r="AH11" i="30"/>
  <c r="AN32" i="41"/>
  <c r="AN32" i="30"/>
  <c r="AI19" i="41"/>
  <c r="AI19" i="30"/>
  <c r="AH18" i="30"/>
  <c r="AH18" i="41"/>
  <c r="BM35" i="41"/>
  <c r="AN31" i="30"/>
  <c r="AN31" i="41"/>
  <c r="AQ6" i="29"/>
  <c r="K40" i="29"/>
  <c r="K38" i="29"/>
  <c r="AQ38" i="29" s="1"/>
  <c r="K39" i="29"/>
  <c r="AQ39" i="29" s="1"/>
  <c r="AH19" i="41"/>
  <c r="AH19" i="30"/>
  <c r="AN33" i="30"/>
  <c r="AN33" i="41"/>
  <c r="AN10" i="41"/>
  <c r="AN10" i="30"/>
  <c r="K6" i="41"/>
  <c r="AQ6" i="41" s="1"/>
  <c r="L7" i="41"/>
  <c r="AQ7" i="41"/>
  <c r="K46" i="41"/>
  <c r="AQ46" i="41" s="1"/>
  <c r="L8" i="30"/>
  <c r="K16" i="30"/>
  <c r="K29" i="30"/>
  <c r="I16" i="41"/>
  <c r="J8" i="41"/>
  <c r="I29" i="41"/>
  <c r="AP16" i="29"/>
  <c r="AQ8" i="29"/>
  <c r="AP29" i="29"/>
  <c r="AP8" i="41"/>
  <c r="AO16" i="41"/>
  <c r="AO29" i="41"/>
  <c r="AP8" i="30"/>
  <c r="AO29" i="30"/>
  <c r="AO16" i="30"/>
  <c r="R34" i="36"/>
  <c r="R33" i="36"/>
  <c r="BL22" i="30"/>
  <c r="I22" i="41"/>
  <c r="G22" i="41"/>
  <c r="AN22" i="30"/>
  <c r="BM22" i="41"/>
  <c r="F22" i="41"/>
  <c r="AM22" i="30"/>
  <c r="BL22" i="41"/>
  <c r="AL22" i="30"/>
  <c r="AI22" i="30"/>
  <c r="AN22" i="41"/>
  <c r="AH22" i="30"/>
  <c r="AM22" i="41"/>
  <c r="AG22" i="30"/>
  <c r="AI22" i="41"/>
  <c r="I22" i="30"/>
  <c r="AH22" i="41"/>
  <c r="H22" i="30"/>
  <c r="AL22" i="41"/>
  <c r="AG22" i="41"/>
  <c r="AF22" i="41"/>
  <c r="G22" i="30"/>
  <c r="F22" i="30"/>
  <c r="BM22" i="30"/>
  <c r="D76" i="36"/>
  <c r="H22" i="41"/>
  <c r="AF22" i="30"/>
  <c r="R35" i="36"/>
  <c r="D11" i="2"/>
  <c r="M15" i="36"/>
  <c r="R37" i="32"/>
  <c r="R4" i="36"/>
  <c r="R4" i="32"/>
  <c r="E20" i="41" l="1"/>
  <c r="E7" i="41"/>
  <c r="AK7" i="41" s="1"/>
  <c r="E21" i="41"/>
  <c r="E45" i="41"/>
  <c r="E19" i="41"/>
  <c r="E11" i="41"/>
  <c r="AM35" i="41"/>
  <c r="BH14" i="41"/>
  <c r="BK32" i="41"/>
  <c r="BK35" i="41" s="1"/>
  <c r="BK25" i="41"/>
  <c r="AO24" i="41"/>
  <c r="AO24" i="30"/>
  <c r="BK33" i="30"/>
  <c r="BK35" i="30" s="1"/>
  <c r="AO12" i="41"/>
  <c r="AO12" i="30"/>
  <c r="BK24" i="30"/>
  <c r="BK24" i="41"/>
  <c r="BN24" i="30"/>
  <c r="BN24" i="41"/>
  <c r="BO12" i="41"/>
  <c r="BO12" i="30"/>
  <c r="BK12" i="41"/>
  <c r="BK14" i="41" s="1"/>
  <c r="BK12" i="30"/>
  <c r="BK14" i="30" s="1"/>
  <c r="BN12" i="41"/>
  <c r="BN12" i="30"/>
  <c r="BO24" i="30"/>
  <c r="BO24" i="41"/>
  <c r="J24" i="30"/>
  <c r="J24" i="41"/>
  <c r="J12" i="30"/>
  <c r="J12" i="41"/>
  <c r="BJ35" i="41"/>
  <c r="AM14" i="30"/>
  <c r="BJ35" i="30"/>
  <c r="J25" i="41"/>
  <c r="J25" i="30"/>
  <c r="BH14" i="30"/>
  <c r="BI14" i="41"/>
  <c r="BH35" i="30"/>
  <c r="BI14" i="30"/>
  <c r="BI35" i="41"/>
  <c r="BI35" i="30"/>
  <c r="BH35" i="41"/>
  <c r="K25" i="29"/>
  <c r="K24" i="29"/>
  <c r="BK23" i="30"/>
  <c r="BK23" i="41"/>
  <c r="BO22" i="41"/>
  <c r="J22" i="30"/>
  <c r="I35" i="41"/>
  <c r="AN35" i="41"/>
  <c r="AO22" i="41"/>
  <c r="BJ23" i="41"/>
  <c r="BJ27" i="41" s="1"/>
  <c r="BI23" i="41"/>
  <c r="BI27" i="41" s="1"/>
  <c r="BH23" i="41"/>
  <c r="BH27" i="41" s="1"/>
  <c r="AE23" i="41"/>
  <c r="AE27" i="41" s="1"/>
  <c r="AE37" i="41" s="1"/>
  <c r="AD23" i="41"/>
  <c r="AD27" i="41" s="1"/>
  <c r="AD37" i="41" s="1"/>
  <c r="AC23" i="41"/>
  <c r="AC27" i="41" s="1"/>
  <c r="AC37" i="41" s="1"/>
  <c r="AB23" i="41"/>
  <c r="BJ23" i="30"/>
  <c r="BJ27" i="30" s="1"/>
  <c r="BI23" i="30"/>
  <c r="BI27" i="30" s="1"/>
  <c r="BH23" i="30"/>
  <c r="BH27" i="30" s="1"/>
  <c r="BG23" i="30"/>
  <c r="BG27" i="30" s="1"/>
  <c r="BG37" i="30" s="1"/>
  <c r="AE23" i="30"/>
  <c r="AE27" i="30" s="1"/>
  <c r="AD23" i="30"/>
  <c r="AD27" i="30" s="1"/>
  <c r="AD37" i="30" s="1"/>
  <c r="AD42" i="30" s="1"/>
  <c r="AC23" i="30"/>
  <c r="AC27" i="30" s="1"/>
  <c r="AC37" i="30" s="1"/>
  <c r="AC42" i="30" s="1"/>
  <c r="AB23" i="30"/>
  <c r="AB27" i="30" s="1"/>
  <c r="AI14" i="30"/>
  <c r="L46" i="30"/>
  <c r="AR46" i="30" s="1"/>
  <c r="M7" i="30"/>
  <c r="L6" i="30"/>
  <c r="AR6" i="30" s="1"/>
  <c r="AR7" i="30"/>
  <c r="AH35" i="30"/>
  <c r="AH14" i="30"/>
  <c r="AH14" i="41"/>
  <c r="BO25" i="30"/>
  <c r="BO25" i="41"/>
  <c r="BO32" i="41"/>
  <c r="BO32" i="30"/>
  <c r="BN31" i="41"/>
  <c r="BN31" i="30"/>
  <c r="AP18" i="29"/>
  <c r="AP24" i="29"/>
  <c r="AP31" i="29"/>
  <c r="AP32" i="29"/>
  <c r="AP12" i="29"/>
  <c r="AP23" i="29"/>
  <c r="AP23" i="30" s="1"/>
  <c r="AP25" i="29"/>
  <c r="AP22" i="29"/>
  <c r="AP10" i="29"/>
  <c r="AP33" i="29"/>
  <c r="BN33" i="41"/>
  <c r="BN33" i="30"/>
  <c r="BO33" i="30"/>
  <c r="BO33" i="41"/>
  <c r="N7" i="29"/>
  <c r="AT7" i="29" s="1"/>
  <c r="M6" i="29"/>
  <c r="AO31" i="30"/>
  <c r="AO31" i="41"/>
  <c r="BN18" i="41"/>
  <c r="BN18" i="30"/>
  <c r="L40" i="29"/>
  <c r="AR6" i="29"/>
  <c r="L39" i="29"/>
  <c r="AR39" i="29" s="1"/>
  <c r="L38" i="29"/>
  <c r="AR38" i="29" s="1"/>
  <c r="I35" i="30"/>
  <c r="BO18" i="30"/>
  <c r="BO18" i="41"/>
  <c r="BO31" i="30"/>
  <c r="BO31" i="41"/>
  <c r="AQ40" i="29"/>
  <c r="K23" i="29"/>
  <c r="K23" i="41" s="1"/>
  <c r="K31" i="29"/>
  <c r="K18" i="29"/>
  <c r="K10" i="29"/>
  <c r="K32" i="29"/>
  <c r="K22" i="29"/>
  <c r="K12" i="29"/>
  <c r="AI14" i="41"/>
  <c r="AN35" i="30"/>
  <c r="AO33" i="41"/>
  <c r="AO33" i="30"/>
  <c r="BN10" i="41"/>
  <c r="BN10" i="30"/>
  <c r="I14" i="41"/>
  <c r="AO18" i="30"/>
  <c r="AO18" i="41"/>
  <c r="I14" i="30"/>
  <c r="BN22" i="30"/>
  <c r="AO25" i="30"/>
  <c r="AO25" i="41"/>
  <c r="BO10" i="41"/>
  <c r="BO10" i="30"/>
  <c r="J10" i="41"/>
  <c r="J10" i="30"/>
  <c r="BN25" i="30"/>
  <c r="BN25" i="41"/>
  <c r="AN14" i="30"/>
  <c r="AO10" i="30"/>
  <c r="AO10" i="41"/>
  <c r="AH35" i="41"/>
  <c r="J32" i="41"/>
  <c r="J32" i="30"/>
  <c r="AO32" i="41"/>
  <c r="AO32" i="30"/>
  <c r="AN14" i="41"/>
  <c r="J31" i="30"/>
  <c r="J31" i="41"/>
  <c r="BN32" i="30"/>
  <c r="BN32" i="41"/>
  <c r="AI35" i="30"/>
  <c r="J18" i="41"/>
  <c r="J18" i="30"/>
  <c r="BN11" i="41"/>
  <c r="BN11" i="30"/>
  <c r="BO11" i="41"/>
  <c r="BO11" i="30"/>
  <c r="AI35" i="41"/>
  <c r="M7" i="41"/>
  <c r="L6" i="41"/>
  <c r="AR6" i="41" s="1"/>
  <c r="AR7" i="41"/>
  <c r="L46" i="41"/>
  <c r="AR46" i="41" s="1"/>
  <c r="J16" i="41"/>
  <c r="K8" i="41"/>
  <c r="J29" i="41"/>
  <c r="M8" i="30"/>
  <c r="L16" i="30"/>
  <c r="L29" i="30"/>
  <c r="AP29" i="30"/>
  <c r="AP16" i="30"/>
  <c r="AQ8" i="30"/>
  <c r="AP29" i="41"/>
  <c r="AP16" i="41"/>
  <c r="AQ8" i="41"/>
  <c r="AQ16" i="29"/>
  <c r="AR8" i="29"/>
  <c r="AQ29" i="29"/>
  <c r="AK46" i="30"/>
  <c r="E46" i="41"/>
  <c r="AK46" i="41"/>
  <c r="E46" i="30"/>
  <c r="E11" i="2"/>
  <c r="BM23" i="41"/>
  <c r="BM27" i="41" s="1"/>
  <c r="BM37" i="41" s="1"/>
  <c r="F23" i="41"/>
  <c r="AM23" i="30"/>
  <c r="AM27" i="30" s="1"/>
  <c r="BL23" i="41"/>
  <c r="BL27" i="41" s="1"/>
  <c r="BL37" i="41" s="1"/>
  <c r="AL23" i="30"/>
  <c r="AL27" i="30" s="1"/>
  <c r="AO23" i="41"/>
  <c r="AI23" i="30"/>
  <c r="AI27" i="30" s="1"/>
  <c r="AN23" i="41"/>
  <c r="AN27" i="41" s="1"/>
  <c r="AH23" i="30"/>
  <c r="AH27" i="30" s="1"/>
  <c r="AM23" i="41"/>
  <c r="AM27" i="41" s="1"/>
  <c r="AM37" i="41" s="1"/>
  <c r="AG23" i="30"/>
  <c r="AG27" i="30" s="1"/>
  <c r="AG37" i="30" s="1"/>
  <c r="AL23" i="41"/>
  <c r="AL27" i="41" s="1"/>
  <c r="AF23" i="30"/>
  <c r="AF27" i="30" s="1"/>
  <c r="AF37" i="30" s="1"/>
  <c r="J23" i="30"/>
  <c r="AI23" i="41"/>
  <c r="AI27" i="41" s="1"/>
  <c r="I23" i="30"/>
  <c r="I27" i="30" s="1"/>
  <c r="AH23" i="41"/>
  <c r="AH27" i="41" s="1"/>
  <c r="BO23" i="30"/>
  <c r="H23" i="30"/>
  <c r="H27" i="30" s="1"/>
  <c r="H37" i="30" s="1"/>
  <c r="J23" i="41"/>
  <c r="BL23" i="30"/>
  <c r="BL27" i="30" s="1"/>
  <c r="BL37" i="30" s="1"/>
  <c r="I23" i="41"/>
  <c r="I27" i="41" s="1"/>
  <c r="AG23" i="41"/>
  <c r="AG27" i="41" s="1"/>
  <c r="AG37" i="41" s="1"/>
  <c r="AF23" i="41"/>
  <c r="AF27" i="41" s="1"/>
  <c r="AF37" i="41" s="1"/>
  <c r="G23" i="30"/>
  <c r="G27" i="30" s="1"/>
  <c r="G37" i="30" s="1"/>
  <c r="BN23" i="30"/>
  <c r="F23" i="30"/>
  <c r="BM23" i="30"/>
  <c r="BM27" i="30" s="1"/>
  <c r="BM37" i="30" s="1"/>
  <c r="H23" i="41"/>
  <c r="H27" i="41" s="1"/>
  <c r="H37" i="41" s="1"/>
  <c r="BO23" i="41"/>
  <c r="G23" i="41"/>
  <c r="G27" i="41" s="1"/>
  <c r="G37" i="41" s="1"/>
  <c r="BN23" i="41"/>
  <c r="AO23" i="30"/>
  <c r="AN23" i="30"/>
  <c r="AN27" i="30" s="1"/>
  <c r="BJ37" i="41" l="1"/>
  <c r="BJ38" i="41" s="1"/>
  <c r="BJ40" i="41" s="1"/>
  <c r="BK27" i="41"/>
  <c r="BI37" i="41"/>
  <c r="BI38" i="41" s="1"/>
  <c r="BI40" i="41" s="1"/>
  <c r="BK27" i="30"/>
  <c r="BK37" i="30" s="1"/>
  <c r="BK42" i="30" s="1"/>
  <c r="AP12" i="41"/>
  <c r="AP12" i="30"/>
  <c r="AP24" i="41"/>
  <c r="AP24" i="30"/>
  <c r="AM37" i="30"/>
  <c r="AM42" i="30" s="1"/>
  <c r="K12" i="30"/>
  <c r="K12" i="41"/>
  <c r="K24" i="30"/>
  <c r="K24" i="41"/>
  <c r="BJ37" i="30"/>
  <c r="BJ42" i="30" s="1"/>
  <c r="BH37" i="41"/>
  <c r="BH38" i="41" s="1"/>
  <c r="BH40" i="41" s="1"/>
  <c r="BI37" i="30"/>
  <c r="BI42" i="30" s="1"/>
  <c r="K25" i="41"/>
  <c r="K25" i="30"/>
  <c r="AB37" i="30"/>
  <c r="AB42" i="30" s="1"/>
  <c r="BH37" i="30"/>
  <c r="BH38" i="30" s="1"/>
  <c r="BH40" i="30" s="1"/>
  <c r="L24" i="29"/>
  <c r="L25" i="29"/>
  <c r="AN37" i="41"/>
  <c r="AN38" i="41" s="1"/>
  <c r="AN40" i="41" s="1"/>
  <c r="BK37" i="41"/>
  <c r="BK42" i="41" s="1"/>
  <c r="AE37" i="30"/>
  <c r="AE42" i="30" s="1"/>
  <c r="AB27" i="41"/>
  <c r="AB37" i="41" s="1"/>
  <c r="AB38" i="41" s="1"/>
  <c r="AB40" i="41" s="1"/>
  <c r="F27" i="41"/>
  <c r="F37" i="41" s="1"/>
  <c r="F27" i="30"/>
  <c r="F37" i="30" s="1"/>
  <c r="AH37" i="30"/>
  <c r="AH38" i="30" s="1"/>
  <c r="AH40" i="30" s="1"/>
  <c r="BO35" i="41"/>
  <c r="AH37" i="41"/>
  <c r="AH38" i="41" s="1"/>
  <c r="AH40" i="41" s="1"/>
  <c r="AE42" i="41"/>
  <c r="AE38" i="41"/>
  <c r="AE40" i="41" s="1"/>
  <c r="AD42" i="41"/>
  <c r="AD38" i="41"/>
  <c r="AD40" i="41" s="1"/>
  <c r="AC42" i="41"/>
  <c r="AC38" i="41"/>
  <c r="AC40" i="41" s="1"/>
  <c r="BG38" i="30"/>
  <c r="BG40" i="30" s="1"/>
  <c r="BG42" i="30"/>
  <c r="AC38" i="30"/>
  <c r="AC40" i="30" s="1"/>
  <c r="AD38" i="30"/>
  <c r="AD40" i="30" s="1"/>
  <c r="AO14" i="30"/>
  <c r="M6" i="30"/>
  <c r="AS6" i="30" s="1"/>
  <c r="M46" i="30"/>
  <c r="AS46" i="30" s="1"/>
  <c r="N7" i="30"/>
  <c r="AS7" i="30"/>
  <c r="BO27" i="41"/>
  <c r="AP23" i="41"/>
  <c r="K23" i="30"/>
  <c r="AO27" i="41"/>
  <c r="AN37" i="30"/>
  <c r="AN42" i="30" s="1"/>
  <c r="AO27" i="30"/>
  <c r="BN27" i="41"/>
  <c r="BO27" i="30"/>
  <c r="J35" i="30"/>
  <c r="BO35" i="30"/>
  <c r="J27" i="41"/>
  <c r="BO14" i="41"/>
  <c r="AI37" i="30"/>
  <c r="AI38" i="30" s="1"/>
  <c r="AI40" i="30" s="1"/>
  <c r="AR40" i="29"/>
  <c r="L31" i="29"/>
  <c r="L12" i="29"/>
  <c r="L18" i="29"/>
  <c r="L10" i="29"/>
  <c r="L32" i="29"/>
  <c r="L22" i="29"/>
  <c r="L23" i="29"/>
  <c r="AP10" i="30"/>
  <c r="AP10" i="41"/>
  <c r="K10" i="41"/>
  <c r="K10" i="30"/>
  <c r="AP22" i="41"/>
  <c r="AP22" i="30"/>
  <c r="K32" i="41"/>
  <c r="K32" i="30"/>
  <c r="BN14" i="30"/>
  <c r="K18" i="30"/>
  <c r="K18" i="41"/>
  <c r="AP25" i="41"/>
  <c r="AP25" i="30"/>
  <c r="BN27" i="30"/>
  <c r="AO14" i="41"/>
  <c r="BN14" i="41"/>
  <c r="AQ31" i="29"/>
  <c r="AQ18" i="29"/>
  <c r="AQ33" i="29"/>
  <c r="AQ25" i="29"/>
  <c r="AQ24" i="29"/>
  <c r="AQ32" i="29"/>
  <c r="AQ12" i="29"/>
  <c r="AQ23" i="29"/>
  <c r="AQ22" i="29"/>
  <c r="AQ10" i="29"/>
  <c r="AO35" i="41"/>
  <c r="AP32" i="41"/>
  <c r="AP32" i="30"/>
  <c r="AO35" i="30"/>
  <c r="AP31" i="41"/>
  <c r="AP31" i="30"/>
  <c r="AP33" i="41"/>
  <c r="AP33" i="30"/>
  <c r="AP18" i="41"/>
  <c r="AP18" i="30"/>
  <c r="AI37" i="41"/>
  <c r="AI42" i="41" s="1"/>
  <c r="J14" i="30"/>
  <c r="AS6" i="29"/>
  <c r="M40" i="29"/>
  <c r="M38" i="29"/>
  <c r="AS38" i="29" s="1"/>
  <c r="M39" i="29"/>
  <c r="AS39" i="29" s="1"/>
  <c r="BN35" i="30"/>
  <c r="J35" i="41"/>
  <c r="J14" i="41"/>
  <c r="O7" i="29"/>
  <c r="AU7" i="29" s="1"/>
  <c r="N6" i="29"/>
  <c r="K22" i="30"/>
  <c r="K22" i="41"/>
  <c r="J27" i="30"/>
  <c r="BO14" i="30"/>
  <c r="K31" i="41"/>
  <c r="K31" i="30"/>
  <c r="BN35" i="41"/>
  <c r="N7" i="41"/>
  <c r="M6" i="41"/>
  <c r="AS6" i="41" s="1"/>
  <c r="M46" i="41"/>
  <c r="AS46" i="41" s="1"/>
  <c r="AS7" i="41"/>
  <c r="N8" i="30"/>
  <c r="M16" i="30"/>
  <c r="M29" i="30"/>
  <c r="K16" i="41"/>
  <c r="K29" i="41"/>
  <c r="L8" i="41"/>
  <c r="AR16" i="29"/>
  <c r="AR29" i="29"/>
  <c r="AS8" i="29"/>
  <c r="AQ29" i="41"/>
  <c r="AQ16" i="41"/>
  <c r="AR8" i="41"/>
  <c r="AQ29" i="30"/>
  <c r="AQ16" i="30"/>
  <c r="AR8" i="30"/>
  <c r="AL37" i="41"/>
  <c r="BM38" i="41"/>
  <c r="BM40" i="41" s="1"/>
  <c r="BM42" i="41"/>
  <c r="I37" i="41"/>
  <c r="AF38" i="41"/>
  <c r="AF40" i="41" s="1"/>
  <c r="AF42" i="41"/>
  <c r="H38" i="41"/>
  <c r="H40" i="41" s="1"/>
  <c r="H42" i="41"/>
  <c r="AG42" i="41"/>
  <c r="AG38" i="41"/>
  <c r="AG40" i="41" s="1"/>
  <c r="BL38" i="41"/>
  <c r="BL40" i="41" s="1"/>
  <c r="BL42" i="41"/>
  <c r="I37" i="30"/>
  <c r="AG42" i="30"/>
  <c r="AG38" i="30"/>
  <c r="AG40" i="30" s="1"/>
  <c r="B77" i="2"/>
  <c r="C85" i="2" s="1"/>
  <c r="B80" i="2"/>
  <c r="C88" i="2" s="1"/>
  <c r="B79" i="2"/>
  <c r="C87" i="2" s="1"/>
  <c r="B82" i="2"/>
  <c r="C91" i="2" s="1"/>
  <c r="B78" i="2"/>
  <c r="C86" i="2" s="1"/>
  <c r="H42" i="30"/>
  <c r="H38" i="30"/>
  <c r="H40" i="30" s="1"/>
  <c r="G38" i="41"/>
  <c r="G40" i="41" s="1"/>
  <c r="G42" i="41"/>
  <c r="BL42" i="30"/>
  <c r="BL38" i="30"/>
  <c r="BL40" i="30" s="1"/>
  <c r="G42" i="30"/>
  <c r="G38" i="30"/>
  <c r="G40" i="30" s="1"/>
  <c r="AL37" i="30"/>
  <c r="AM38" i="41"/>
  <c r="AM40" i="41" s="1"/>
  <c r="AM42" i="41"/>
  <c r="BM42" i="30"/>
  <c r="BM38" i="30"/>
  <c r="BM40" i="30" s="1"/>
  <c r="AF42" i="30"/>
  <c r="AF38" i="30"/>
  <c r="AF40" i="30" s="1"/>
  <c r="BJ42" i="41" l="1"/>
  <c r="AM38" i="30"/>
  <c r="AM40" i="30" s="1"/>
  <c r="BI42" i="41"/>
  <c r="BH42" i="41"/>
  <c r="BJ38" i="30"/>
  <c r="BJ40" i="30" s="1"/>
  <c r="AQ12" i="30"/>
  <c r="AQ12" i="41"/>
  <c r="AQ24" i="41"/>
  <c r="AQ24" i="30"/>
  <c r="BI38" i="30"/>
  <c r="BI40" i="30" s="1"/>
  <c r="L24" i="41"/>
  <c r="L24" i="30"/>
  <c r="L12" i="41"/>
  <c r="L12" i="30"/>
  <c r="L25" i="41"/>
  <c r="L25" i="30"/>
  <c r="AB38" i="30"/>
  <c r="AB40" i="30" s="1"/>
  <c r="BH42" i="30"/>
  <c r="P48" i="32"/>
  <c r="P15" i="32"/>
  <c r="M24" i="29"/>
  <c r="M25" i="29"/>
  <c r="BK38" i="30"/>
  <c r="BK40" i="30" s="1"/>
  <c r="AN42" i="41"/>
  <c r="BK38" i="41"/>
  <c r="BK40" i="41" s="1"/>
  <c r="AB42" i="41"/>
  <c r="AE38" i="30"/>
  <c r="AE40" i="30" s="1"/>
  <c r="AH42" i="41"/>
  <c r="AH42" i="30"/>
  <c r="K35" i="30"/>
  <c r="BO37" i="41"/>
  <c r="BO38" i="41" s="1"/>
  <c r="BO40" i="41" s="1"/>
  <c r="N46" i="30"/>
  <c r="AT46" i="30" s="1"/>
  <c r="N6" i="30"/>
  <c r="AT6" i="30" s="1"/>
  <c r="O7" i="30"/>
  <c r="AT7" i="30"/>
  <c r="AN38" i="30"/>
  <c r="AN40" i="30" s="1"/>
  <c r="BO37" i="30"/>
  <c r="BO38" i="30" s="1"/>
  <c r="BO40" i="30" s="1"/>
  <c r="BN37" i="41"/>
  <c r="BN42" i="41" s="1"/>
  <c r="AP27" i="41"/>
  <c r="AI42" i="30"/>
  <c r="AO37" i="30"/>
  <c r="AO38" i="30" s="1"/>
  <c r="AO40" i="30" s="1"/>
  <c r="K14" i="41"/>
  <c r="J37" i="41"/>
  <c r="J38" i="41" s="1"/>
  <c r="J40" i="41" s="1"/>
  <c r="AO37" i="41"/>
  <c r="AO42" i="41" s="1"/>
  <c r="AP27" i="30"/>
  <c r="K27" i="30"/>
  <c r="AI38" i="41"/>
  <c r="AI40" i="41" s="1"/>
  <c r="K27" i="41"/>
  <c r="AQ25" i="41"/>
  <c r="AQ25" i="30"/>
  <c r="AT6" i="29"/>
  <c r="N40" i="29"/>
  <c r="N39" i="29"/>
  <c r="AT39" i="29" s="1"/>
  <c r="N38" i="29"/>
  <c r="AT38" i="29" s="1"/>
  <c r="AQ33" i="41"/>
  <c r="AQ33" i="30"/>
  <c r="P7" i="29"/>
  <c r="AV7" i="29" s="1"/>
  <c r="O6" i="29"/>
  <c r="AQ18" i="41"/>
  <c r="AQ18" i="30"/>
  <c r="K14" i="30"/>
  <c r="AQ31" i="41"/>
  <c r="AQ31" i="30"/>
  <c r="AP35" i="30"/>
  <c r="AP35" i="41"/>
  <c r="AP14" i="41"/>
  <c r="AP14" i="30"/>
  <c r="K35" i="41"/>
  <c r="L23" i="41"/>
  <c r="L23" i="30"/>
  <c r="BN37" i="30"/>
  <c r="L22" i="30"/>
  <c r="L22" i="41"/>
  <c r="AS40" i="29"/>
  <c r="M10" i="29"/>
  <c r="M32" i="29"/>
  <c r="M23" i="29"/>
  <c r="M22" i="29"/>
  <c r="M31" i="29"/>
  <c r="M18" i="29"/>
  <c r="M12" i="29"/>
  <c r="L32" i="41"/>
  <c r="L32" i="30"/>
  <c r="AQ10" i="30"/>
  <c r="AQ10" i="41"/>
  <c r="L10" i="41"/>
  <c r="L10" i="30"/>
  <c r="AQ22" i="41"/>
  <c r="AQ22" i="30"/>
  <c r="L18" i="30"/>
  <c r="L18" i="41"/>
  <c r="J37" i="30"/>
  <c r="AQ23" i="41"/>
  <c r="AQ23" i="30"/>
  <c r="L31" i="41"/>
  <c r="L31" i="30"/>
  <c r="AQ32" i="41"/>
  <c r="AQ32" i="30"/>
  <c r="AR23" i="29"/>
  <c r="AR22" i="29"/>
  <c r="AR25" i="29"/>
  <c r="AR10" i="29"/>
  <c r="AR12" i="29"/>
  <c r="AR33" i="29"/>
  <c r="AR31" i="29"/>
  <c r="AR18" i="29"/>
  <c r="AR24" i="29"/>
  <c r="AR32" i="29"/>
  <c r="N6" i="41"/>
  <c r="AT6" i="41" s="1"/>
  <c r="AT7" i="41"/>
  <c r="N46" i="41"/>
  <c r="AT46" i="41" s="1"/>
  <c r="O7" i="41"/>
  <c r="L16" i="41"/>
  <c r="M8" i="41"/>
  <c r="L29" i="41"/>
  <c r="O8" i="30"/>
  <c r="N16" i="30"/>
  <c r="N29" i="30"/>
  <c r="AS8" i="30"/>
  <c r="AR16" i="30"/>
  <c r="AR29" i="30"/>
  <c r="AR29" i="41"/>
  <c r="AR16" i="41"/>
  <c r="AS8" i="41"/>
  <c r="AS16" i="29"/>
  <c r="AT8" i="29"/>
  <c r="AS29" i="29"/>
  <c r="F38" i="41"/>
  <c r="F40" i="41" s="1"/>
  <c r="F42" i="41"/>
  <c r="I42" i="30"/>
  <c r="I38" i="30"/>
  <c r="I40" i="30" s="1"/>
  <c r="F42" i="30"/>
  <c r="F38" i="30"/>
  <c r="F40" i="30" s="1"/>
  <c r="I42" i="41"/>
  <c r="I38" i="41"/>
  <c r="I40" i="41" s="1"/>
  <c r="AL38" i="30"/>
  <c r="AL40" i="30" s="1"/>
  <c r="AL42" i="30"/>
  <c r="AL42" i="41"/>
  <c r="AL38" i="41"/>
  <c r="AL40" i="41" s="1"/>
  <c r="AR12" i="41" l="1"/>
  <c r="AR12" i="30"/>
  <c r="AR24" i="41"/>
  <c r="AR24" i="30"/>
  <c r="M24" i="41"/>
  <c r="M24" i="30"/>
  <c r="M12" i="30"/>
  <c r="M12" i="41"/>
  <c r="M25" i="41"/>
  <c r="M25" i="30"/>
  <c r="N24" i="29"/>
  <c r="N25" i="29"/>
  <c r="BO42" i="41"/>
  <c r="O46" i="30"/>
  <c r="AU46" i="30" s="1"/>
  <c r="P7" i="30"/>
  <c r="O6" i="30"/>
  <c r="AU6" i="30" s="1"/>
  <c r="AU7" i="30"/>
  <c r="BN38" i="41"/>
  <c r="BN40" i="41" s="1"/>
  <c r="AQ35" i="30"/>
  <c r="AO38" i="41"/>
  <c r="AO40" i="41" s="1"/>
  <c r="AO42" i="30"/>
  <c r="AP37" i="41"/>
  <c r="AP42" i="41" s="1"/>
  <c r="K37" i="30"/>
  <c r="K38" i="30" s="1"/>
  <c r="K40" i="30" s="1"/>
  <c r="BO42" i="30"/>
  <c r="J42" i="41"/>
  <c r="AQ27" i="30"/>
  <c r="K37" i="41"/>
  <c r="K38" i="41" s="1"/>
  <c r="K40" i="41" s="1"/>
  <c r="AQ14" i="30"/>
  <c r="AQ14" i="41"/>
  <c r="AP37" i="30"/>
  <c r="AP38" i="30" s="1"/>
  <c r="AP40" i="30" s="1"/>
  <c r="AQ27" i="41"/>
  <c r="M18" i="30"/>
  <c r="M18" i="41"/>
  <c r="M31" i="41"/>
  <c r="M31" i="30"/>
  <c r="AT40" i="29"/>
  <c r="N10" i="29"/>
  <c r="N31" i="29"/>
  <c r="N32" i="29"/>
  <c r="N22" i="29"/>
  <c r="N23" i="29"/>
  <c r="N18" i="29"/>
  <c r="N12" i="29"/>
  <c r="M22" i="41"/>
  <c r="M22" i="30"/>
  <c r="M23" i="30"/>
  <c r="M23" i="41"/>
  <c r="M32" i="41"/>
  <c r="M32" i="30"/>
  <c r="M10" i="41"/>
  <c r="M10" i="30"/>
  <c r="AR18" i="41"/>
  <c r="AR18" i="30"/>
  <c r="AS18" i="29"/>
  <c r="AS24" i="29"/>
  <c r="AS32" i="29"/>
  <c r="AS25" i="29"/>
  <c r="AS31" i="29"/>
  <c r="AS33" i="29"/>
  <c r="AS12" i="29"/>
  <c r="AS23" i="29"/>
  <c r="AS22" i="29"/>
  <c r="AS10" i="29"/>
  <c r="AQ35" i="41"/>
  <c r="AR32" i="41"/>
  <c r="AR32" i="30"/>
  <c r="AR25" i="41"/>
  <c r="AR25" i="30"/>
  <c r="AR22" i="30"/>
  <c r="AR22" i="41"/>
  <c r="AR31" i="41"/>
  <c r="AR31" i="30"/>
  <c r="AR23" i="30"/>
  <c r="AR23" i="41"/>
  <c r="L14" i="30"/>
  <c r="BN42" i="30"/>
  <c r="BN38" i="30"/>
  <c r="BN40" i="30" s="1"/>
  <c r="J42" i="30"/>
  <c r="J38" i="30"/>
  <c r="J40" i="30" s="1"/>
  <c r="L14" i="41"/>
  <c r="O40" i="29"/>
  <c r="AU6" i="29"/>
  <c r="O38" i="29"/>
  <c r="AU38" i="29" s="1"/>
  <c r="O39" i="29"/>
  <c r="AU39" i="29" s="1"/>
  <c r="L27" i="30"/>
  <c r="Q7" i="29"/>
  <c r="AW7" i="29" s="1"/>
  <c r="P6" i="29"/>
  <c r="AR33" i="30"/>
  <c r="AR33" i="41"/>
  <c r="L35" i="30"/>
  <c r="L27" i="41"/>
  <c r="AR10" i="41"/>
  <c r="AR10" i="30"/>
  <c r="L35" i="41"/>
  <c r="O6" i="41"/>
  <c r="AU6" i="41" s="1"/>
  <c r="P7" i="41"/>
  <c r="AU7" i="41"/>
  <c r="O46" i="41"/>
  <c r="AU46" i="41" s="1"/>
  <c r="O16" i="30"/>
  <c r="O29" i="30"/>
  <c r="P8" i="30"/>
  <c r="M16" i="41"/>
  <c r="N8" i="41"/>
  <c r="M29" i="41"/>
  <c r="AU8" i="29"/>
  <c r="AT29" i="29"/>
  <c r="AT16" i="29"/>
  <c r="AS29" i="41"/>
  <c r="AS16" i="41"/>
  <c r="AT8" i="41"/>
  <c r="AS16" i="30"/>
  <c r="AT8" i="30"/>
  <c r="AS29" i="30"/>
  <c r="AS12" i="41" l="1"/>
  <c r="AS12" i="30"/>
  <c r="AS24" i="41"/>
  <c r="AS24" i="30"/>
  <c r="M14" i="41"/>
  <c r="N12" i="41"/>
  <c r="N12" i="30"/>
  <c r="N24" i="41"/>
  <c r="N24" i="30"/>
  <c r="N25" i="41"/>
  <c r="N25" i="30"/>
  <c r="O25" i="29"/>
  <c r="O24" i="29"/>
  <c r="M35" i="41"/>
  <c r="K42" i="41"/>
  <c r="Q7" i="30"/>
  <c r="AV7" i="30"/>
  <c r="P6" i="30"/>
  <c r="AV6" i="30" s="1"/>
  <c r="P46" i="30"/>
  <c r="AV46" i="30" s="1"/>
  <c r="K42" i="30"/>
  <c r="AP38" i="41"/>
  <c r="AP40" i="41" s="1"/>
  <c r="AQ37" i="30"/>
  <c r="AQ42" i="30" s="1"/>
  <c r="AR14" i="41"/>
  <c r="AQ37" i="41"/>
  <c r="AQ38" i="41" s="1"/>
  <c r="AQ40" i="41" s="1"/>
  <c r="L37" i="41"/>
  <c r="L42" i="41" s="1"/>
  <c r="M27" i="41"/>
  <c r="AP42" i="30"/>
  <c r="AR14" i="30"/>
  <c r="M14" i="30"/>
  <c r="M35" i="30"/>
  <c r="AT12" i="29"/>
  <c r="AT25" i="29"/>
  <c r="AT23" i="29"/>
  <c r="AT22" i="29"/>
  <c r="AT10" i="29"/>
  <c r="AT32" i="29"/>
  <c r="AT33" i="29"/>
  <c r="AT18" i="29"/>
  <c r="AT24" i="29"/>
  <c r="AT31" i="29"/>
  <c r="N10" i="41"/>
  <c r="N10" i="30"/>
  <c r="AS10" i="41"/>
  <c r="AS10" i="30"/>
  <c r="AS22" i="41"/>
  <c r="AS22" i="30"/>
  <c r="M27" i="30"/>
  <c r="AR27" i="30"/>
  <c r="AS23" i="41"/>
  <c r="AS23" i="30"/>
  <c r="L37" i="30"/>
  <c r="AR35" i="30"/>
  <c r="AR35" i="41"/>
  <c r="AS33" i="41"/>
  <c r="AS33" i="30"/>
  <c r="AR27" i="41"/>
  <c r="AS31" i="30"/>
  <c r="AS31" i="41"/>
  <c r="N18" i="30"/>
  <c r="N18" i="41"/>
  <c r="R7" i="29"/>
  <c r="AX7" i="29" s="1"/>
  <c r="Q6" i="29"/>
  <c r="AS25" i="30"/>
  <c r="AS25" i="41"/>
  <c r="N23" i="41"/>
  <c r="N23" i="30"/>
  <c r="P40" i="29"/>
  <c r="AV6" i="29"/>
  <c r="P38" i="29"/>
  <c r="AV38" i="29" s="1"/>
  <c r="P39" i="29"/>
  <c r="AV39" i="29" s="1"/>
  <c r="AS32" i="41"/>
  <c r="AS32" i="30"/>
  <c r="N22" i="30"/>
  <c r="N22" i="41"/>
  <c r="AU40" i="29"/>
  <c r="O10" i="29"/>
  <c r="O31" i="29"/>
  <c r="O32" i="29"/>
  <c r="O12" i="29"/>
  <c r="O22" i="29"/>
  <c r="O18" i="29"/>
  <c r="O23" i="29"/>
  <c r="N32" i="41"/>
  <c r="N32" i="30"/>
  <c r="AS18" i="30"/>
  <c r="AS18" i="41"/>
  <c r="N31" i="41"/>
  <c r="N31" i="30"/>
  <c r="P6" i="41"/>
  <c r="AV6" i="41" s="1"/>
  <c r="AV7" i="41"/>
  <c r="P46" i="41"/>
  <c r="AV46" i="41" s="1"/>
  <c r="Q7" i="41"/>
  <c r="O8" i="41"/>
  <c r="N29" i="41"/>
  <c r="N16" i="41"/>
  <c r="P29" i="30"/>
  <c r="P16" i="30"/>
  <c r="Q8" i="30"/>
  <c r="AT16" i="30"/>
  <c r="AT29" i="30"/>
  <c r="AU8" i="30"/>
  <c r="AT29" i="41"/>
  <c r="AT16" i="41"/>
  <c r="AU8" i="41"/>
  <c r="AU29" i="29"/>
  <c r="AU16" i="29"/>
  <c r="AV8" i="29"/>
  <c r="AT12" i="41" l="1"/>
  <c r="AT12" i="30"/>
  <c r="AT24" i="41"/>
  <c r="AT24" i="30"/>
  <c r="O12" i="41"/>
  <c r="O12" i="30"/>
  <c r="O24" i="30"/>
  <c r="O24" i="41"/>
  <c r="O25" i="41"/>
  <c r="O25" i="30"/>
  <c r="M37" i="41"/>
  <c r="M38" i="41" s="1"/>
  <c r="M40" i="41" s="1"/>
  <c r="P24" i="29"/>
  <c r="P25" i="29"/>
  <c r="N35" i="41"/>
  <c r="M37" i="30"/>
  <c r="M38" i="30" s="1"/>
  <c r="M40" i="30" s="1"/>
  <c r="N35" i="30"/>
  <c r="R7" i="30"/>
  <c r="Q6" i="30"/>
  <c r="AW6" i="30" s="1"/>
  <c r="AW7" i="30"/>
  <c r="Q46" i="30"/>
  <c r="AW46" i="30" s="1"/>
  <c r="AS14" i="30"/>
  <c r="AQ42" i="41"/>
  <c r="AQ38" i="30"/>
  <c r="AQ40" i="30" s="1"/>
  <c r="L38" i="41"/>
  <c r="L40" i="41" s="1"/>
  <c r="AS14" i="41"/>
  <c r="N27" i="30"/>
  <c r="N27" i="41"/>
  <c r="N14" i="30"/>
  <c r="N14" i="41"/>
  <c r="AT31" i="30"/>
  <c r="AT31" i="41"/>
  <c r="O31" i="41"/>
  <c r="O31" i="30"/>
  <c r="O22" i="30"/>
  <c r="O22" i="41"/>
  <c r="S7" i="29"/>
  <c r="AY7" i="29" s="1"/>
  <c r="R6" i="29"/>
  <c r="L38" i="30"/>
  <c r="L40" i="30" s="1"/>
  <c r="L42" i="30"/>
  <c r="AT18" i="41"/>
  <c r="AT18" i="30"/>
  <c r="AS27" i="30"/>
  <c r="AT33" i="41"/>
  <c r="AT33" i="30"/>
  <c r="AS27" i="41"/>
  <c r="AT32" i="30"/>
  <c r="AT32" i="41"/>
  <c r="O32" i="41"/>
  <c r="O32" i="30"/>
  <c r="AU18" i="29"/>
  <c r="AU24" i="29"/>
  <c r="AU32" i="29"/>
  <c r="AU10" i="29"/>
  <c r="AU31" i="29"/>
  <c r="AU12" i="29"/>
  <c r="AU23" i="29"/>
  <c r="AU25" i="29"/>
  <c r="AU22" i="29"/>
  <c r="AU33" i="29"/>
  <c r="AR37" i="30"/>
  <c r="AT10" i="41"/>
  <c r="AT10" i="30"/>
  <c r="AW6" i="29"/>
  <c r="Q40" i="29"/>
  <c r="Q38" i="29"/>
  <c r="AW38" i="29" s="1"/>
  <c r="Q39" i="29"/>
  <c r="AW39" i="29" s="1"/>
  <c r="AT22" i="30"/>
  <c r="AT22" i="41"/>
  <c r="AV40" i="29"/>
  <c r="P10" i="29"/>
  <c r="P32" i="29"/>
  <c r="P22" i="29"/>
  <c r="P18" i="29"/>
  <c r="P12" i="29"/>
  <c r="P23" i="29"/>
  <c r="P31" i="29"/>
  <c r="AS35" i="41"/>
  <c r="AT23" i="30"/>
  <c r="AT23" i="41"/>
  <c r="O18" i="30"/>
  <c r="O18" i="41"/>
  <c r="AS35" i="30"/>
  <c r="AT25" i="41"/>
  <c r="AT25" i="30"/>
  <c r="O23" i="41"/>
  <c r="O23" i="30"/>
  <c r="O10" i="41"/>
  <c r="O10" i="30"/>
  <c r="AR37" i="41"/>
  <c r="Q6" i="41"/>
  <c r="AW6" i="41" s="1"/>
  <c r="AW7" i="41"/>
  <c r="Q46" i="41"/>
  <c r="AW46" i="41" s="1"/>
  <c r="R7" i="41"/>
  <c r="Q29" i="30"/>
  <c r="Q16" i="30"/>
  <c r="R8" i="30"/>
  <c r="P8" i="41"/>
  <c r="O29" i="41"/>
  <c r="O16" i="41"/>
  <c r="AW8" i="29"/>
  <c r="AV29" i="29"/>
  <c r="AV16" i="29"/>
  <c r="AV8" i="41"/>
  <c r="AU16" i="41"/>
  <c r="AU29" i="41"/>
  <c r="AU16" i="30"/>
  <c r="AU29" i="30"/>
  <c r="AV8" i="30"/>
  <c r="AU12" i="30" l="1"/>
  <c r="AU12" i="41"/>
  <c r="AU24" i="30"/>
  <c r="AU24" i="41"/>
  <c r="P24" i="30"/>
  <c r="P24" i="41"/>
  <c r="P12" i="41"/>
  <c r="P12" i="30"/>
  <c r="M42" i="41"/>
  <c r="P25" i="41"/>
  <c r="P25" i="30"/>
  <c r="Q25" i="29"/>
  <c r="Q24" i="29"/>
  <c r="O14" i="41"/>
  <c r="M42" i="30"/>
  <c r="AX7" i="30"/>
  <c r="R6" i="30"/>
  <c r="AX6" i="30" s="1"/>
  <c r="R46" i="30"/>
  <c r="AX46" i="30" s="1"/>
  <c r="S7" i="30"/>
  <c r="N37" i="30"/>
  <c r="N42" i="30" s="1"/>
  <c r="N37" i="41"/>
  <c r="N38" i="41" s="1"/>
  <c r="N40" i="41" s="1"/>
  <c r="O14" i="30"/>
  <c r="AT14" i="30"/>
  <c r="AT27" i="30"/>
  <c r="O27" i="30"/>
  <c r="O27" i="41"/>
  <c r="AX6" i="29"/>
  <c r="R40" i="29"/>
  <c r="R38" i="29"/>
  <c r="AX38" i="29" s="1"/>
  <c r="R39" i="29"/>
  <c r="AX39" i="29" s="1"/>
  <c r="AW40" i="29"/>
  <c r="Q32" i="29"/>
  <c r="Q22" i="29"/>
  <c r="Q23" i="29"/>
  <c r="Q18" i="29"/>
  <c r="Q12" i="29"/>
  <c r="Q10" i="29"/>
  <c r="Q31" i="29"/>
  <c r="S6" i="29"/>
  <c r="T7" i="29"/>
  <c r="AZ7" i="29" s="1"/>
  <c r="AR38" i="41"/>
  <c r="AR40" i="41" s="1"/>
  <c r="AR42" i="41"/>
  <c r="P18" i="41"/>
  <c r="P18" i="30"/>
  <c r="AT14" i="41"/>
  <c r="AU32" i="30"/>
  <c r="AU32" i="41"/>
  <c r="AS37" i="41"/>
  <c r="AU18" i="41"/>
  <c r="AU18" i="30"/>
  <c r="P31" i="41"/>
  <c r="P31" i="30"/>
  <c r="AU33" i="41"/>
  <c r="AU33" i="30"/>
  <c r="O35" i="30"/>
  <c r="AU22" i="41"/>
  <c r="AU22" i="30"/>
  <c r="AT35" i="30"/>
  <c r="O35" i="41"/>
  <c r="P32" i="41"/>
  <c r="P32" i="30"/>
  <c r="AU25" i="30"/>
  <c r="AU25" i="41"/>
  <c r="AT35" i="41"/>
  <c r="AU23" i="41"/>
  <c r="AU23" i="30"/>
  <c r="AS37" i="30"/>
  <c r="P22" i="30"/>
  <c r="P22" i="41"/>
  <c r="P23" i="41"/>
  <c r="P23" i="30"/>
  <c r="AR42" i="30"/>
  <c r="AR38" i="30"/>
  <c r="AR40" i="30" s="1"/>
  <c r="AV31" i="29"/>
  <c r="AV33" i="29"/>
  <c r="AV24" i="29"/>
  <c r="AV32" i="29"/>
  <c r="AV23" i="29"/>
  <c r="AV12" i="29"/>
  <c r="AV25" i="29"/>
  <c r="AV22" i="29"/>
  <c r="AV18" i="29"/>
  <c r="AV10" i="29"/>
  <c r="AU31" i="30"/>
  <c r="AU31" i="41"/>
  <c r="P10" i="41"/>
  <c r="P10" i="30"/>
  <c r="AT27" i="41"/>
  <c r="AU10" i="30"/>
  <c r="AU10" i="41"/>
  <c r="R46" i="41"/>
  <c r="AX46" i="41" s="1"/>
  <c r="R6" i="41"/>
  <c r="AX6" i="41" s="1"/>
  <c r="AX7" i="41"/>
  <c r="S7" i="41"/>
  <c r="S8" i="30"/>
  <c r="R16" i="30"/>
  <c r="R29" i="30"/>
  <c r="P29" i="41"/>
  <c r="Q8" i="41"/>
  <c r="P16" i="41"/>
  <c r="AW8" i="41"/>
  <c r="AV16" i="41"/>
  <c r="AV29" i="41"/>
  <c r="AV16" i="30"/>
  <c r="AW8" i="30"/>
  <c r="AV29" i="30"/>
  <c r="AW16" i="29"/>
  <c r="AX8" i="29"/>
  <c r="AW29" i="29"/>
  <c r="AV24" i="41" l="1"/>
  <c r="AV24" i="30"/>
  <c r="AV12" i="30"/>
  <c r="AV12" i="41"/>
  <c r="Q24" i="41"/>
  <c r="Q24" i="30"/>
  <c r="Q12" i="41"/>
  <c r="Q12" i="30"/>
  <c r="Q25" i="41"/>
  <c r="Q25" i="30"/>
  <c r="P14" i="41"/>
  <c r="R25" i="29"/>
  <c r="R24" i="29"/>
  <c r="N42" i="41"/>
  <c r="P14" i="30"/>
  <c r="N38" i="30"/>
  <c r="N40" i="30" s="1"/>
  <c r="AT37" i="30"/>
  <c r="AT42" i="30" s="1"/>
  <c r="O37" i="30"/>
  <c r="O42" i="30" s="1"/>
  <c r="S6" i="30"/>
  <c r="AY6" i="30" s="1"/>
  <c r="AY7" i="30"/>
  <c r="T7" i="30"/>
  <c r="S46" i="30"/>
  <c r="AY46" i="30" s="1"/>
  <c r="O37" i="41"/>
  <c r="O38" i="41" s="1"/>
  <c r="O40" i="41" s="1"/>
  <c r="AU14" i="41"/>
  <c r="AU35" i="30"/>
  <c r="P35" i="41"/>
  <c r="P35" i="30"/>
  <c r="Q31" i="41"/>
  <c r="Q31" i="30"/>
  <c r="Q10" i="41"/>
  <c r="Q10" i="30"/>
  <c r="Q18" i="41"/>
  <c r="Q18" i="30"/>
  <c r="Q23" i="30"/>
  <c r="Q23" i="41"/>
  <c r="AV18" i="41"/>
  <c r="AV18" i="30"/>
  <c r="AS42" i="30"/>
  <c r="AS38" i="30"/>
  <c r="AS40" i="30" s="1"/>
  <c r="AU27" i="41"/>
  <c r="Q22" i="41"/>
  <c r="Q22" i="30"/>
  <c r="Q32" i="41"/>
  <c r="Q32" i="30"/>
  <c r="AU27" i="30"/>
  <c r="AW10" i="29"/>
  <c r="AW33" i="29"/>
  <c r="AW24" i="29"/>
  <c r="AW18" i="29"/>
  <c r="AW31" i="29"/>
  <c r="AW25" i="29"/>
  <c r="AW32" i="29"/>
  <c r="AW23" i="29"/>
  <c r="AW22" i="29"/>
  <c r="AW12" i="29"/>
  <c r="AV32" i="30"/>
  <c r="AV32" i="41"/>
  <c r="AV10" i="41"/>
  <c r="AV10" i="30"/>
  <c r="AV23" i="30"/>
  <c r="AV23" i="41"/>
  <c r="AX40" i="29"/>
  <c r="R32" i="29"/>
  <c r="R22" i="29"/>
  <c r="R31" i="29"/>
  <c r="R18" i="29"/>
  <c r="R12" i="29"/>
  <c r="R10" i="29"/>
  <c r="R23" i="29"/>
  <c r="AV22" i="30"/>
  <c r="AV22" i="41"/>
  <c r="AV31" i="30"/>
  <c r="AV31" i="41"/>
  <c r="AV33" i="41"/>
  <c r="AV33" i="30"/>
  <c r="P27" i="30"/>
  <c r="P27" i="41"/>
  <c r="T6" i="29"/>
  <c r="U7" i="29"/>
  <c r="BA7" i="29" s="1"/>
  <c r="AV25" i="41"/>
  <c r="AV25" i="30"/>
  <c r="AT37" i="41"/>
  <c r="AS42" i="41"/>
  <c r="AS38" i="41"/>
  <c r="AS40" i="41" s="1"/>
  <c r="AU35" i="41"/>
  <c r="AU14" i="30"/>
  <c r="AY6" i="29"/>
  <c r="S40" i="29"/>
  <c r="S39" i="29"/>
  <c r="AY39" i="29" s="1"/>
  <c r="S38" i="29"/>
  <c r="AY38" i="29" s="1"/>
  <c r="AY7" i="41"/>
  <c r="S46" i="41"/>
  <c r="AY46" i="41" s="1"/>
  <c r="T7" i="41"/>
  <c r="S6" i="41"/>
  <c r="AY6" i="41" s="1"/>
  <c r="Q29" i="41"/>
  <c r="Q16" i="41"/>
  <c r="R8" i="41"/>
  <c r="T8" i="30"/>
  <c r="S16" i="30"/>
  <c r="S29" i="30"/>
  <c r="AX16" i="29"/>
  <c r="AY8" i="29"/>
  <c r="AX29" i="29"/>
  <c r="AW16" i="30"/>
  <c r="AW29" i="30"/>
  <c r="AX8" i="30"/>
  <c r="AW16" i="41"/>
  <c r="AW29" i="41"/>
  <c r="AX8" i="41"/>
  <c r="AW12" i="30" l="1"/>
  <c r="AW12" i="41"/>
  <c r="AW24" i="41"/>
  <c r="AW24" i="30"/>
  <c r="R24" i="41"/>
  <c r="R24" i="30"/>
  <c r="R12" i="41"/>
  <c r="R12" i="30"/>
  <c r="R25" i="41"/>
  <c r="R25" i="30"/>
  <c r="S25" i="29"/>
  <c r="S24" i="29"/>
  <c r="O38" i="30"/>
  <c r="O40" i="30" s="1"/>
  <c r="P37" i="41"/>
  <c r="P38" i="41" s="1"/>
  <c r="P40" i="41" s="1"/>
  <c r="AV35" i="41"/>
  <c r="AT38" i="30"/>
  <c r="AT40" i="30" s="1"/>
  <c r="T6" i="30"/>
  <c r="AZ6" i="30" s="1"/>
  <c r="AZ7" i="30"/>
  <c r="T46" i="30"/>
  <c r="AZ46" i="30" s="1"/>
  <c r="U7" i="30"/>
  <c r="AV35" i="30"/>
  <c r="O42" i="41"/>
  <c r="AU37" i="30"/>
  <c r="AU38" i="30" s="1"/>
  <c r="AU40" i="30" s="1"/>
  <c r="AV27" i="41"/>
  <c r="P37" i="30"/>
  <c r="P42" i="30" s="1"/>
  <c r="AW23" i="30"/>
  <c r="AW23" i="41"/>
  <c r="AW32" i="30"/>
  <c r="AW32" i="41"/>
  <c r="AW25" i="41"/>
  <c r="AW25" i="30"/>
  <c r="AW31" i="30"/>
  <c r="AW31" i="41"/>
  <c r="AW18" i="30"/>
  <c r="AW18" i="41"/>
  <c r="R31" i="41"/>
  <c r="R31" i="30"/>
  <c r="AW33" i="41"/>
  <c r="AW33" i="30"/>
  <c r="Q27" i="30"/>
  <c r="AW10" i="41"/>
  <c r="AW10" i="30"/>
  <c r="Q27" i="41"/>
  <c r="AY40" i="29"/>
  <c r="S32" i="29"/>
  <c r="S22" i="29"/>
  <c r="S18" i="29"/>
  <c r="S12" i="29"/>
  <c r="S23" i="29"/>
  <c r="S31" i="29"/>
  <c r="S10" i="29"/>
  <c r="AX32" i="29"/>
  <c r="AX23" i="29"/>
  <c r="AX25" i="29"/>
  <c r="AX22" i="29"/>
  <c r="AX12" i="29"/>
  <c r="AX10" i="29"/>
  <c r="AX24" i="29"/>
  <c r="AX18" i="29"/>
  <c r="AX33" i="29"/>
  <c r="AX31" i="29"/>
  <c r="AV14" i="30"/>
  <c r="AW22" i="30"/>
  <c r="AW22" i="41"/>
  <c r="AV14" i="41"/>
  <c r="R32" i="41"/>
  <c r="R32" i="30"/>
  <c r="Q14" i="30"/>
  <c r="R22" i="41"/>
  <c r="R22" i="30"/>
  <c r="AU37" i="41"/>
  <c r="AV27" i="30"/>
  <c r="Q14" i="41"/>
  <c r="T40" i="29"/>
  <c r="AZ6" i="29"/>
  <c r="T39" i="29"/>
  <c r="AZ39" i="29" s="1"/>
  <c r="T38" i="29"/>
  <c r="AZ38" i="29" s="1"/>
  <c r="R23" i="30"/>
  <c r="R23" i="41"/>
  <c r="Q35" i="30"/>
  <c r="R18" i="41"/>
  <c r="R18" i="30"/>
  <c r="AT38" i="41"/>
  <c r="AT40" i="41" s="1"/>
  <c r="AT42" i="41"/>
  <c r="R10" i="41"/>
  <c r="R10" i="30"/>
  <c r="Q35" i="41"/>
  <c r="U6" i="29"/>
  <c r="V7" i="29"/>
  <c r="BB7" i="29" s="1"/>
  <c r="T46" i="41"/>
  <c r="AZ46" i="41" s="1"/>
  <c r="U7" i="41"/>
  <c r="AZ7" i="41"/>
  <c r="T6" i="41"/>
  <c r="AZ6" i="41" s="1"/>
  <c r="U8" i="30"/>
  <c r="T16" i="30"/>
  <c r="T29" i="30"/>
  <c r="R29" i="41"/>
  <c r="R16" i="41"/>
  <c r="S8" i="41"/>
  <c r="AY16" i="29"/>
  <c r="AY29" i="29"/>
  <c r="AZ8" i="29"/>
  <c r="AX29" i="41"/>
  <c r="AY8" i="41"/>
  <c r="AX16" i="41"/>
  <c r="AX29" i="30"/>
  <c r="AX16" i="30"/>
  <c r="AY8" i="30"/>
  <c r="AX12" i="41" l="1"/>
  <c r="AX12" i="30"/>
  <c r="AX24" i="30"/>
  <c r="AX24" i="41"/>
  <c r="S12" i="30"/>
  <c r="S12" i="41"/>
  <c r="S24" i="41"/>
  <c r="E24" i="41" s="1"/>
  <c r="S24" i="30"/>
  <c r="E24" i="30" s="1"/>
  <c r="S25" i="41"/>
  <c r="E25" i="41" s="1"/>
  <c r="S25" i="30"/>
  <c r="E25" i="30" s="1"/>
  <c r="H16" i="32"/>
  <c r="H49" i="32"/>
  <c r="T24" i="29"/>
  <c r="T25" i="29"/>
  <c r="P38" i="30"/>
  <c r="P40" i="30" s="1"/>
  <c r="P42" i="41"/>
  <c r="U46" i="30"/>
  <c r="BA46" i="30" s="1"/>
  <c r="BA7" i="30"/>
  <c r="V7" i="30"/>
  <c r="U6" i="30"/>
  <c r="BA6" i="30" s="1"/>
  <c r="AU42" i="30"/>
  <c r="AV37" i="41"/>
  <c r="AV38" i="41" s="1"/>
  <c r="AV40" i="41" s="1"/>
  <c r="S31" i="41"/>
  <c r="S31" i="30"/>
  <c r="R35" i="41"/>
  <c r="S23" i="30"/>
  <c r="S23" i="41"/>
  <c r="R27" i="41"/>
  <c r="S18" i="41"/>
  <c r="S18" i="30"/>
  <c r="AW27" i="41"/>
  <c r="S22" i="41"/>
  <c r="S22" i="30"/>
  <c r="AW27" i="30"/>
  <c r="AX31" i="30"/>
  <c r="AX31" i="41"/>
  <c r="S32" i="41"/>
  <c r="S32" i="30"/>
  <c r="AX33" i="41"/>
  <c r="AX33" i="30"/>
  <c r="AY12" i="29"/>
  <c r="AY25" i="29"/>
  <c r="AY22" i="29"/>
  <c r="AY10" i="29"/>
  <c r="AY33" i="29"/>
  <c r="AY31" i="29"/>
  <c r="AY18" i="29"/>
  <c r="AY23" i="29"/>
  <c r="AY24" i="29"/>
  <c r="AY32" i="29"/>
  <c r="AX18" i="30"/>
  <c r="AX18" i="41"/>
  <c r="Q37" i="41"/>
  <c r="V6" i="29"/>
  <c r="W7" i="29"/>
  <c r="BC7" i="29" s="1"/>
  <c r="AW14" i="30"/>
  <c r="AX10" i="30"/>
  <c r="AX10" i="41"/>
  <c r="AW14" i="41"/>
  <c r="AV37" i="30"/>
  <c r="R35" i="30"/>
  <c r="R27" i="30"/>
  <c r="H48" i="32" s="1"/>
  <c r="AZ40" i="29"/>
  <c r="T22" i="29"/>
  <c r="E22" i="29" s="1"/>
  <c r="T32" i="29"/>
  <c r="E32" i="29" s="1"/>
  <c r="T18" i="29"/>
  <c r="E18" i="29" s="1"/>
  <c r="T12" i="29"/>
  <c r="T23" i="29"/>
  <c r="E23" i="29" s="1"/>
  <c r="T31" i="29"/>
  <c r="E31" i="29" s="1"/>
  <c r="T10" i="29"/>
  <c r="E10" i="29" s="1"/>
  <c r="AU38" i="41"/>
  <c r="AU40" i="41" s="1"/>
  <c r="AU42" i="41"/>
  <c r="AX22" i="30"/>
  <c r="AX22" i="41"/>
  <c r="R14" i="30"/>
  <c r="H47" i="32" s="1"/>
  <c r="AX25" i="41"/>
  <c r="AX25" i="30"/>
  <c r="Q37" i="30"/>
  <c r="S10" i="30"/>
  <c r="S10" i="41"/>
  <c r="U40" i="29"/>
  <c r="BA6" i="29"/>
  <c r="U39" i="29"/>
  <c r="BA39" i="29" s="1"/>
  <c r="U38" i="29"/>
  <c r="BA38" i="29" s="1"/>
  <c r="R14" i="41"/>
  <c r="AX23" i="41"/>
  <c r="AX23" i="30"/>
  <c r="AW35" i="30"/>
  <c r="I16" i="32" s="1"/>
  <c r="AX32" i="41"/>
  <c r="AX32" i="30"/>
  <c r="AW35" i="41"/>
  <c r="BA7" i="41"/>
  <c r="U46" i="41"/>
  <c r="BA46" i="41" s="1"/>
  <c r="V7" i="41"/>
  <c r="U6" i="41"/>
  <c r="BA6" i="41" s="1"/>
  <c r="S16" i="41"/>
  <c r="T8" i="41"/>
  <c r="S29" i="41"/>
  <c r="V8" i="30"/>
  <c r="U16" i="30"/>
  <c r="U29" i="30"/>
  <c r="AZ8" i="30"/>
  <c r="AY29" i="30"/>
  <c r="AY16" i="30"/>
  <c r="AY29" i="41"/>
  <c r="AY16" i="41"/>
  <c r="AZ8" i="41"/>
  <c r="BA8" i="29"/>
  <c r="AZ29" i="29"/>
  <c r="AZ16" i="29"/>
  <c r="AY12" i="41" l="1"/>
  <c r="AY12" i="30"/>
  <c r="AY24" i="30"/>
  <c r="AY24" i="41"/>
  <c r="AK24" i="41" s="1"/>
  <c r="T24" i="30"/>
  <c r="T24" i="41"/>
  <c r="E12" i="29"/>
  <c r="T12" i="30"/>
  <c r="T12" i="41"/>
  <c r="H15" i="32"/>
  <c r="H14" i="32"/>
  <c r="E25" i="29"/>
  <c r="E39" i="36" s="1"/>
  <c r="N39" i="36" s="1"/>
  <c r="T25" i="41"/>
  <c r="T25" i="30"/>
  <c r="E24" i="29"/>
  <c r="E38" i="36" s="1"/>
  <c r="G38" i="36" s="1"/>
  <c r="P38" i="36" s="1"/>
  <c r="U25" i="29"/>
  <c r="U24" i="29"/>
  <c r="BB7" i="30"/>
  <c r="W7" i="30"/>
  <c r="V46" i="30"/>
  <c r="BB46" i="30" s="1"/>
  <c r="V6" i="30"/>
  <c r="BB6" i="30" s="1"/>
  <c r="AW37" i="30"/>
  <c r="AW38" i="30" s="1"/>
  <c r="AW40" i="30" s="1"/>
  <c r="S14" i="30"/>
  <c r="AV42" i="41"/>
  <c r="AY23" i="30"/>
  <c r="AY23" i="41"/>
  <c r="AY18" i="30"/>
  <c r="AY18" i="41"/>
  <c r="AW37" i="41"/>
  <c r="AY31" i="30"/>
  <c r="AY31" i="41"/>
  <c r="AY33" i="41"/>
  <c r="AY33" i="30"/>
  <c r="AY32" i="41"/>
  <c r="AY32" i="30"/>
  <c r="AY10" i="30"/>
  <c r="AY10" i="41"/>
  <c r="R37" i="41"/>
  <c r="AY22" i="41"/>
  <c r="AY22" i="30"/>
  <c r="AY25" i="41"/>
  <c r="AK25" i="41" s="1"/>
  <c r="AY25" i="30"/>
  <c r="AV38" i="30"/>
  <c r="AV40" i="30" s="1"/>
  <c r="AV42" i="30"/>
  <c r="S27" i="41"/>
  <c r="AX14" i="30"/>
  <c r="I14" i="32" s="1"/>
  <c r="S27" i="30"/>
  <c r="AX27" i="41"/>
  <c r="T18" i="41"/>
  <c r="E18" i="41" s="1"/>
  <c r="T18" i="30"/>
  <c r="E18" i="30" s="1"/>
  <c r="W6" i="29"/>
  <c r="X7" i="29"/>
  <c r="BD7" i="29" s="1"/>
  <c r="AX27" i="30"/>
  <c r="I15" i="32" s="1"/>
  <c r="E12" i="41"/>
  <c r="E12" i="30"/>
  <c r="V40" i="29"/>
  <c r="BB6" i="29"/>
  <c r="V38" i="29"/>
  <c r="BB38" i="29" s="1"/>
  <c r="V39" i="29"/>
  <c r="BB39" i="29" s="1"/>
  <c r="S35" i="30"/>
  <c r="AX14" i="41"/>
  <c r="I47" i="32" s="1"/>
  <c r="T23" i="30"/>
  <c r="T23" i="41"/>
  <c r="T22" i="41"/>
  <c r="T22" i="30"/>
  <c r="Q38" i="41"/>
  <c r="Q40" i="41" s="1"/>
  <c r="Q42" i="41"/>
  <c r="S35" i="41"/>
  <c r="T10" i="30"/>
  <c r="E10" i="30" s="1"/>
  <c r="T10" i="41"/>
  <c r="E10" i="41" s="1"/>
  <c r="T32" i="41"/>
  <c r="E32" i="41" s="1"/>
  <c r="T32" i="30"/>
  <c r="E32" i="30" s="1"/>
  <c r="AZ12" i="29"/>
  <c r="AZ23" i="29"/>
  <c r="AZ25" i="29"/>
  <c r="AZ22" i="29"/>
  <c r="AZ10" i="29"/>
  <c r="AZ33" i="29"/>
  <c r="AZ32" i="29"/>
  <c r="AZ24" i="29"/>
  <c r="AZ31" i="29"/>
  <c r="AZ18" i="29"/>
  <c r="AX35" i="41"/>
  <c r="T31" i="41"/>
  <c r="E31" i="41" s="1"/>
  <c r="T31" i="30"/>
  <c r="E31" i="30" s="1"/>
  <c r="BA40" i="29"/>
  <c r="U32" i="29"/>
  <c r="U18" i="29"/>
  <c r="U12" i="29"/>
  <c r="U23" i="29"/>
  <c r="U31" i="29"/>
  <c r="U22" i="29"/>
  <c r="U10" i="29"/>
  <c r="S14" i="41"/>
  <c r="Q38" i="30"/>
  <c r="Q40" i="30" s="1"/>
  <c r="Q42" i="30"/>
  <c r="R37" i="30"/>
  <c r="AX35" i="30"/>
  <c r="BB7" i="41"/>
  <c r="W7" i="41"/>
  <c r="V46" i="41"/>
  <c r="BB46" i="41" s="1"/>
  <c r="V6" i="41"/>
  <c r="BB6" i="41" s="1"/>
  <c r="T16" i="41"/>
  <c r="U8" i="41"/>
  <c r="T29" i="41"/>
  <c r="W8" i="30"/>
  <c r="V16" i="30"/>
  <c r="V29" i="30"/>
  <c r="BB8" i="29"/>
  <c r="BA29" i="29"/>
  <c r="BA16" i="29"/>
  <c r="AZ29" i="41"/>
  <c r="BA8" i="41"/>
  <c r="AZ16" i="41"/>
  <c r="AZ29" i="30"/>
  <c r="AZ16" i="30"/>
  <c r="BA8" i="30"/>
  <c r="AZ12" i="30" l="1"/>
  <c r="AZ12" i="41"/>
  <c r="G39" i="36"/>
  <c r="P39" i="36" s="1"/>
  <c r="AZ24" i="41"/>
  <c r="AZ24" i="30"/>
  <c r="U24" i="41"/>
  <c r="U24" i="30"/>
  <c r="U12" i="30"/>
  <c r="U12" i="41"/>
  <c r="N38" i="36"/>
  <c r="U25" i="30"/>
  <c r="U25" i="41"/>
  <c r="V25" i="29"/>
  <c r="V24" i="29"/>
  <c r="T14" i="41"/>
  <c r="AW42" i="30"/>
  <c r="AY14" i="41"/>
  <c r="X7" i="30"/>
  <c r="BC7" i="30"/>
  <c r="W6" i="30"/>
  <c r="BC6" i="30" s="1"/>
  <c r="W46" i="30"/>
  <c r="BC46" i="30" s="1"/>
  <c r="AY14" i="30"/>
  <c r="S37" i="30"/>
  <c r="S42" i="30" s="1"/>
  <c r="AX37" i="41"/>
  <c r="AX42" i="41" s="1"/>
  <c r="T14" i="30"/>
  <c r="W40" i="29"/>
  <c r="BC6" i="29"/>
  <c r="W39" i="29"/>
  <c r="BC39" i="29" s="1"/>
  <c r="W38" i="29"/>
  <c r="BC38" i="29" s="1"/>
  <c r="Y7" i="29"/>
  <c r="BE7" i="29" s="1"/>
  <c r="X6" i="29"/>
  <c r="R38" i="30"/>
  <c r="R40" i="30" s="1"/>
  <c r="R42" i="30"/>
  <c r="U10" i="41"/>
  <c r="U10" i="30"/>
  <c r="AZ22" i="41"/>
  <c r="AZ22" i="30"/>
  <c r="U31" i="41"/>
  <c r="U31" i="30"/>
  <c r="S37" i="41"/>
  <c r="AY35" i="41"/>
  <c r="AZ23" i="41"/>
  <c r="AZ23" i="30"/>
  <c r="AY35" i="30"/>
  <c r="AZ32" i="41"/>
  <c r="AZ32" i="30"/>
  <c r="T27" i="41"/>
  <c r="AW38" i="41"/>
  <c r="AW40" i="41" s="1"/>
  <c r="AW42" i="41"/>
  <c r="AZ10" i="30"/>
  <c r="AZ10" i="41"/>
  <c r="U18" i="41"/>
  <c r="U18" i="30"/>
  <c r="R42" i="41"/>
  <c r="R38" i="41"/>
  <c r="R40" i="41" s="1"/>
  <c r="AZ25" i="41"/>
  <c r="AZ25" i="30"/>
  <c r="AZ18" i="41"/>
  <c r="AZ18" i="30"/>
  <c r="U22" i="41"/>
  <c r="U22" i="30"/>
  <c r="BB40" i="29"/>
  <c r="V18" i="29"/>
  <c r="V12" i="29"/>
  <c r="V10" i="29"/>
  <c r="V23" i="29"/>
  <c r="V31" i="29"/>
  <c r="V22" i="29"/>
  <c r="V32" i="29"/>
  <c r="AY27" i="41"/>
  <c r="U32" i="41"/>
  <c r="U32" i="30"/>
  <c r="AY27" i="30"/>
  <c r="AZ33" i="30"/>
  <c r="AZ33" i="41"/>
  <c r="T27" i="30"/>
  <c r="BA10" i="29"/>
  <c r="BA33" i="29"/>
  <c r="BA18" i="29"/>
  <c r="BA24" i="29"/>
  <c r="BA32" i="29"/>
  <c r="BA31" i="29"/>
  <c r="BA23" i="29"/>
  <c r="BA12" i="29"/>
  <c r="BA25" i="29"/>
  <c r="BA22" i="29"/>
  <c r="T35" i="30"/>
  <c r="AZ31" i="41"/>
  <c r="AZ31" i="30"/>
  <c r="U23" i="41"/>
  <c r="U23" i="30"/>
  <c r="T35" i="41"/>
  <c r="AX37" i="30"/>
  <c r="W46" i="41"/>
  <c r="BC46" i="41" s="1"/>
  <c r="BC7" i="41"/>
  <c r="W6" i="41"/>
  <c r="BC6" i="41" s="1"/>
  <c r="X7" i="41"/>
  <c r="U16" i="41"/>
  <c r="V8" i="41"/>
  <c r="U29" i="41"/>
  <c r="X8" i="30"/>
  <c r="W16" i="30"/>
  <c r="W29" i="30"/>
  <c r="BA29" i="30"/>
  <c r="BA16" i="30"/>
  <c r="BB8" i="30"/>
  <c r="BA29" i="41"/>
  <c r="BA16" i="41"/>
  <c r="BB8" i="41"/>
  <c r="BB29" i="29"/>
  <c r="BC8" i="29"/>
  <c r="BB16" i="29"/>
  <c r="AZ14" i="30" l="1"/>
  <c r="BA24" i="30"/>
  <c r="BA24" i="41"/>
  <c r="BA12" i="41"/>
  <c r="BA12" i="30"/>
  <c r="V24" i="30"/>
  <c r="V24" i="41"/>
  <c r="V12" i="30"/>
  <c r="V12" i="41"/>
  <c r="V25" i="41"/>
  <c r="V25" i="30"/>
  <c r="W24" i="29"/>
  <c r="W25" i="29"/>
  <c r="S38" i="30"/>
  <c r="S40" i="30" s="1"/>
  <c r="AY37" i="41"/>
  <c r="AY38" i="41" s="1"/>
  <c r="AY40" i="41" s="1"/>
  <c r="U27" i="41"/>
  <c r="BD7" i="30"/>
  <c r="Y7" i="30"/>
  <c r="X46" i="30"/>
  <c r="BD46" i="30" s="1"/>
  <c r="X6" i="30"/>
  <c r="BD6" i="30" s="1"/>
  <c r="U27" i="30"/>
  <c r="T37" i="30"/>
  <c r="T42" i="30" s="1"/>
  <c r="AY37" i="30"/>
  <c r="AY42" i="30" s="1"/>
  <c r="AX38" i="41"/>
  <c r="AX40" i="41" s="1"/>
  <c r="AZ14" i="41"/>
  <c r="U14" i="30"/>
  <c r="U14" i="41"/>
  <c r="V18" i="41"/>
  <c r="V18" i="30"/>
  <c r="T37" i="41"/>
  <c r="BA10" i="30"/>
  <c r="BA10" i="41"/>
  <c r="AZ35" i="41"/>
  <c r="BA22" i="41"/>
  <c r="BA22" i="30"/>
  <c r="BA33" i="30"/>
  <c r="BA33" i="41"/>
  <c r="AX42" i="30"/>
  <c r="AX38" i="30"/>
  <c r="AX40" i="30" s="1"/>
  <c r="AZ35" i="30"/>
  <c r="AZ27" i="30"/>
  <c r="X40" i="29"/>
  <c r="BD6" i="29"/>
  <c r="X39" i="29"/>
  <c r="BD39" i="29" s="1"/>
  <c r="X38" i="29"/>
  <c r="BD38" i="29" s="1"/>
  <c r="BA18" i="41"/>
  <c r="BA18" i="30"/>
  <c r="BA25" i="41"/>
  <c r="BA25" i="30"/>
  <c r="AZ27" i="41"/>
  <c r="Z7" i="29"/>
  <c r="BF7" i="29" s="1"/>
  <c r="Y6" i="29"/>
  <c r="BA23" i="41"/>
  <c r="BA23" i="30"/>
  <c r="V32" i="41"/>
  <c r="V32" i="30"/>
  <c r="BB18" i="29"/>
  <c r="BB12" i="29"/>
  <c r="BB25" i="29"/>
  <c r="BB23" i="29"/>
  <c r="BB10" i="29"/>
  <c r="BB22" i="29"/>
  <c r="BB33" i="29"/>
  <c r="BB24" i="29"/>
  <c r="BB31" i="29"/>
  <c r="BB32" i="29"/>
  <c r="BA31" i="41"/>
  <c r="BA31" i="30"/>
  <c r="V22" i="41"/>
  <c r="V22" i="30"/>
  <c r="S42" i="41"/>
  <c r="S38" i="41"/>
  <c r="S40" i="41" s="1"/>
  <c r="BA32" i="30"/>
  <c r="BA32" i="41"/>
  <c r="V31" i="41"/>
  <c r="V31" i="30"/>
  <c r="U35" i="30"/>
  <c r="V10" i="41"/>
  <c r="V10" i="30"/>
  <c r="V23" i="30"/>
  <c r="V23" i="41"/>
  <c r="U35" i="41"/>
  <c r="BC40" i="29"/>
  <c r="W18" i="29"/>
  <c r="W12" i="29"/>
  <c r="W23" i="29"/>
  <c r="W31" i="29"/>
  <c r="W10" i="29"/>
  <c r="W32" i="29"/>
  <c r="W22" i="29"/>
  <c r="X46" i="41"/>
  <c r="BD46" i="41" s="1"/>
  <c r="BD7" i="41"/>
  <c r="Y7" i="41"/>
  <c r="X6" i="41"/>
  <c r="BD6" i="41" s="1"/>
  <c r="X16" i="30"/>
  <c r="Y8" i="30"/>
  <c r="X29" i="30"/>
  <c r="V16" i="41"/>
  <c r="W8" i="41"/>
  <c r="V29" i="41"/>
  <c r="BD8" i="29"/>
  <c r="BC29" i="29"/>
  <c r="BC16" i="29"/>
  <c r="BC8" i="30"/>
  <c r="BB16" i="30"/>
  <c r="BB29" i="30"/>
  <c r="BC8" i="41"/>
  <c r="BB29" i="41"/>
  <c r="BB16" i="41"/>
  <c r="BB24" i="41" l="1"/>
  <c r="BB24" i="30"/>
  <c r="BB12" i="30"/>
  <c r="BB12" i="41"/>
  <c r="W12" i="30"/>
  <c r="W12" i="41"/>
  <c r="W24" i="41"/>
  <c r="W24" i="30"/>
  <c r="W25" i="30"/>
  <c r="W25" i="41"/>
  <c r="AZ37" i="30"/>
  <c r="AZ38" i="30" s="1"/>
  <c r="AZ40" i="30" s="1"/>
  <c r="X24" i="29"/>
  <c r="X25" i="29"/>
  <c r="AK24" i="29"/>
  <c r="F38" i="36" s="1"/>
  <c r="H38" i="36" s="1"/>
  <c r="AK31" i="29"/>
  <c r="F44" i="36" s="1"/>
  <c r="AK33" i="29"/>
  <c r="F46" i="36" s="1"/>
  <c r="AK18" i="29"/>
  <c r="F32" i="36" s="1"/>
  <c r="AK12" i="29"/>
  <c r="F26" i="36" s="1"/>
  <c r="H26" i="36" s="1"/>
  <c r="AK23" i="29"/>
  <c r="F37" i="36" s="1"/>
  <c r="AK25" i="29"/>
  <c r="F39" i="36" s="1"/>
  <c r="AK10" i="29"/>
  <c r="F24" i="36" s="1"/>
  <c r="AK22" i="29"/>
  <c r="F36" i="36" s="1"/>
  <c r="AK32" i="29"/>
  <c r="F45" i="36" s="1"/>
  <c r="O45" i="36" s="1"/>
  <c r="AK19" i="29"/>
  <c r="F33" i="36" s="1"/>
  <c r="H33" i="36" s="1"/>
  <c r="AK21" i="29"/>
  <c r="F35" i="36" s="1"/>
  <c r="H35" i="36" s="1"/>
  <c r="AK20" i="29"/>
  <c r="F34" i="36" s="1"/>
  <c r="H34" i="36" s="1"/>
  <c r="AK11" i="29"/>
  <c r="F25" i="36" s="1"/>
  <c r="AY42" i="41"/>
  <c r="V35" i="41"/>
  <c r="U37" i="41"/>
  <c r="U38" i="41" s="1"/>
  <c r="U40" i="41" s="1"/>
  <c r="U37" i="30"/>
  <c r="U38" i="30" s="1"/>
  <c r="U40" i="30" s="1"/>
  <c r="BE7" i="30"/>
  <c r="Z7" i="30"/>
  <c r="Y46" i="30"/>
  <c r="BE46" i="30" s="1"/>
  <c r="Y6" i="30"/>
  <c r="BE6" i="30" s="1"/>
  <c r="BA14" i="30"/>
  <c r="AY38" i="30"/>
  <c r="AY40" i="30" s="1"/>
  <c r="V14" i="30"/>
  <c r="T38" i="30"/>
  <c r="T40" i="30" s="1"/>
  <c r="V35" i="30"/>
  <c r="BB23" i="30"/>
  <c r="BB23" i="41"/>
  <c r="W10" i="41"/>
  <c r="W10" i="30"/>
  <c r="BA14" i="41"/>
  <c r="BB10" i="41"/>
  <c r="BB10" i="30"/>
  <c r="T42" i="41"/>
  <c r="T38" i="41"/>
  <c r="T40" i="41" s="1"/>
  <c r="W32" i="41"/>
  <c r="W32" i="30"/>
  <c r="BD40" i="29"/>
  <c r="X18" i="29"/>
  <c r="X12" i="29"/>
  <c r="X23" i="29"/>
  <c r="X31" i="29"/>
  <c r="X10" i="29"/>
  <c r="X32" i="29"/>
  <c r="X22" i="29"/>
  <c r="BB22" i="30"/>
  <c r="BB22" i="41"/>
  <c r="BB18" i="41"/>
  <c r="BB18" i="30"/>
  <c r="BA27" i="41"/>
  <c r="W18" i="41"/>
  <c r="W18" i="30"/>
  <c r="Y40" i="29"/>
  <c r="BE6" i="29"/>
  <c r="Y38" i="29"/>
  <c r="BE38" i="29" s="1"/>
  <c r="Y39" i="29"/>
  <c r="BE39" i="29" s="1"/>
  <c r="BB25" i="30"/>
  <c r="BB25" i="41"/>
  <c r="BA27" i="30"/>
  <c r="BA35" i="30"/>
  <c r="V27" i="30"/>
  <c r="Z6" i="29"/>
  <c r="E34" i="36"/>
  <c r="G34" i="36" s="1"/>
  <c r="E25" i="36"/>
  <c r="E46" i="36"/>
  <c r="E37" i="36"/>
  <c r="E24" i="36"/>
  <c r="E44" i="36"/>
  <c r="E35" i="36"/>
  <c r="G35" i="36" s="1"/>
  <c r="E36" i="36"/>
  <c r="E32" i="36"/>
  <c r="E33" i="36"/>
  <c r="G33" i="36" s="1"/>
  <c r="E45" i="36"/>
  <c r="N45" i="36" s="1"/>
  <c r="E26" i="36"/>
  <c r="G26" i="36" s="1"/>
  <c r="W23" i="30"/>
  <c r="W23" i="41"/>
  <c r="BB32" i="30"/>
  <c r="BB32" i="41"/>
  <c r="AZ37" i="41"/>
  <c r="V14" i="41"/>
  <c r="W31" i="41"/>
  <c r="W31" i="30"/>
  <c r="BB31" i="41"/>
  <c r="BB31" i="30"/>
  <c r="BA35" i="41"/>
  <c r="V27" i="41"/>
  <c r="W22" i="41"/>
  <c r="W22" i="30"/>
  <c r="BC10" i="29"/>
  <c r="BC18" i="29"/>
  <c r="BC33" i="29"/>
  <c r="BC24" i="29"/>
  <c r="BC31" i="29"/>
  <c r="BC32" i="29"/>
  <c r="BC22" i="29"/>
  <c r="BC23" i="29"/>
  <c r="BC12" i="29"/>
  <c r="BC25" i="29"/>
  <c r="BB33" i="30"/>
  <c r="BB33" i="41"/>
  <c r="Z7" i="41"/>
  <c r="Y46" i="41"/>
  <c r="BE46" i="41" s="1"/>
  <c r="Y6" i="41"/>
  <c r="BE6" i="41" s="1"/>
  <c r="BE7" i="41"/>
  <c r="AF8" i="30"/>
  <c r="Z8" i="30"/>
  <c r="AA8" i="30" s="1"/>
  <c r="Y16" i="30"/>
  <c r="Y29" i="30"/>
  <c r="W16" i="41"/>
  <c r="X8" i="41"/>
  <c r="W29" i="41"/>
  <c r="BC29" i="41"/>
  <c r="BC16" i="41"/>
  <c r="BD8" i="41"/>
  <c r="BC16" i="30"/>
  <c r="BD8" i="30"/>
  <c r="BC29" i="30"/>
  <c r="BE8" i="29"/>
  <c r="BD29" i="29"/>
  <c r="BD16" i="29"/>
  <c r="BC24" i="41" l="1"/>
  <c r="BC24" i="30"/>
  <c r="BC12" i="30"/>
  <c r="BC12" i="41"/>
  <c r="X24" i="30"/>
  <c r="X24" i="41"/>
  <c r="X12" i="30"/>
  <c r="X12" i="41"/>
  <c r="X25" i="41"/>
  <c r="X25" i="30"/>
  <c r="AZ42" i="30"/>
  <c r="Y25" i="29"/>
  <c r="Y24" i="29"/>
  <c r="AB8" i="30"/>
  <c r="AA16" i="30"/>
  <c r="AA29" i="30"/>
  <c r="W14" i="41"/>
  <c r="U42" i="30"/>
  <c r="U42" i="41"/>
  <c r="I34" i="36"/>
  <c r="AK11" i="41"/>
  <c r="AK31" i="41"/>
  <c r="AK12" i="41"/>
  <c r="Q47" i="32"/>
  <c r="Q49" i="32"/>
  <c r="AK45" i="41"/>
  <c r="AK20" i="41"/>
  <c r="AK21" i="41"/>
  <c r="AK32" i="41"/>
  <c r="AK19" i="41"/>
  <c r="I49" i="32"/>
  <c r="AK18" i="41"/>
  <c r="AK10" i="41"/>
  <c r="AK33" i="41"/>
  <c r="Q48" i="32"/>
  <c r="AK33" i="30"/>
  <c r="AK20" i="30"/>
  <c r="AK12" i="30"/>
  <c r="Q16" i="32"/>
  <c r="AK25" i="30"/>
  <c r="AK19" i="30"/>
  <c r="AK31" i="30"/>
  <c r="AK21" i="30"/>
  <c r="AK32" i="30"/>
  <c r="AK10" i="30"/>
  <c r="AK24" i="30"/>
  <c r="AK45" i="30"/>
  <c r="AK18" i="30"/>
  <c r="Q14" i="32"/>
  <c r="AK11" i="30"/>
  <c r="Q15" i="32"/>
  <c r="BF7" i="30"/>
  <c r="Z46" i="30"/>
  <c r="BF46" i="30" s="1"/>
  <c r="Z6" i="30"/>
  <c r="BF6" i="30" s="1"/>
  <c r="V37" i="30"/>
  <c r="V38" i="30" s="1"/>
  <c r="V40" i="30" s="1"/>
  <c r="I33" i="36"/>
  <c r="I35" i="36"/>
  <c r="V37" i="41"/>
  <c r="V42" i="41" s="1"/>
  <c r="BA37" i="30"/>
  <c r="BA42" i="30" s="1"/>
  <c r="O24" i="36"/>
  <c r="H24" i="36"/>
  <c r="O38" i="36"/>
  <c r="W35" i="30"/>
  <c r="O44" i="36"/>
  <c r="H44" i="36"/>
  <c r="Q44" i="36" s="1"/>
  <c r="H46" i="36"/>
  <c r="Q46" i="36" s="1"/>
  <c r="O46" i="36"/>
  <c r="H25" i="36"/>
  <c r="Q25" i="36" s="1"/>
  <c r="O25" i="36"/>
  <c r="W27" i="30"/>
  <c r="H36" i="36"/>
  <c r="Q36" i="36" s="1"/>
  <c r="O36" i="36"/>
  <c r="O37" i="36"/>
  <c r="H37" i="36"/>
  <c r="O39" i="36"/>
  <c r="H39" i="36"/>
  <c r="O32" i="36"/>
  <c r="H32" i="36"/>
  <c r="Q32" i="36" s="1"/>
  <c r="Q26" i="36"/>
  <c r="O26" i="36"/>
  <c r="N26" i="36"/>
  <c r="G25" i="36"/>
  <c r="N25" i="36"/>
  <c r="BA37" i="41"/>
  <c r="D26" i="36"/>
  <c r="M45" i="36"/>
  <c r="H45" i="36"/>
  <c r="M26" i="36"/>
  <c r="D12" i="41"/>
  <c r="D12" i="29"/>
  <c r="D32" i="30"/>
  <c r="D32" i="29"/>
  <c r="D12" i="30"/>
  <c r="G45" i="36"/>
  <c r="P45" i="36" s="1"/>
  <c r="D32" i="41"/>
  <c r="D45" i="36"/>
  <c r="Z40" i="29"/>
  <c r="BF6" i="29"/>
  <c r="Z39" i="29"/>
  <c r="BF39" i="29" s="1"/>
  <c r="Z38" i="29"/>
  <c r="BF38" i="29" s="1"/>
  <c r="BC25" i="30"/>
  <c r="BC25" i="41"/>
  <c r="BB35" i="30"/>
  <c r="N32" i="36"/>
  <c r="G32" i="36"/>
  <c r="X22" i="41"/>
  <c r="X22" i="30"/>
  <c r="BB14" i="30"/>
  <c r="X32" i="41"/>
  <c r="X32" i="30"/>
  <c r="BB14" i="41"/>
  <c r="BC32" i="30"/>
  <c r="BC32" i="41"/>
  <c r="G36" i="36"/>
  <c r="N36" i="36"/>
  <c r="X10" i="41"/>
  <c r="X10" i="30"/>
  <c r="X31" i="41"/>
  <c r="X31" i="30"/>
  <c r="W14" i="30"/>
  <c r="X23" i="30"/>
  <c r="X23" i="41"/>
  <c r="N46" i="36"/>
  <c r="G46" i="36"/>
  <c r="BC22" i="41"/>
  <c r="BC22" i="30"/>
  <c r="BC33" i="41"/>
  <c r="BC33" i="30"/>
  <c r="AZ42" i="41"/>
  <c r="AZ38" i="41"/>
  <c r="AZ40" i="41" s="1"/>
  <c r="N44" i="36"/>
  <c r="G44" i="36"/>
  <c r="BB27" i="41"/>
  <c r="BC31" i="30"/>
  <c r="BC31" i="41"/>
  <c r="G24" i="36"/>
  <c r="N24" i="36"/>
  <c r="BE40" i="29"/>
  <c r="Y18" i="29"/>
  <c r="Y12" i="29"/>
  <c r="Y23" i="29"/>
  <c r="Y31" i="29"/>
  <c r="Y32" i="29"/>
  <c r="Y10" i="29"/>
  <c r="Y22" i="29"/>
  <c r="X18" i="41"/>
  <c r="X18" i="30"/>
  <c r="BB27" i="30"/>
  <c r="BC23" i="41"/>
  <c r="BC23" i="30"/>
  <c r="BB35" i="41"/>
  <c r="W35" i="41"/>
  <c r="BC10" i="41"/>
  <c r="BC10" i="30"/>
  <c r="N37" i="36"/>
  <c r="G37" i="36"/>
  <c r="BD25" i="29"/>
  <c r="BD23" i="29"/>
  <c r="BD22" i="29"/>
  <c r="BD10" i="29"/>
  <c r="BD18" i="29"/>
  <c r="BD33" i="29"/>
  <c r="BD24" i="29"/>
  <c r="BD12" i="29"/>
  <c r="BD31" i="29"/>
  <c r="BD32" i="29"/>
  <c r="BC18" i="30"/>
  <c r="BC18" i="41"/>
  <c r="W27" i="41"/>
  <c r="Z46" i="41"/>
  <c r="BF46" i="41" s="1"/>
  <c r="Z6" i="41"/>
  <c r="BF6" i="41" s="1"/>
  <c r="BF7" i="41"/>
  <c r="X16" i="41"/>
  <c r="Y8" i="41"/>
  <c r="X29" i="41"/>
  <c r="Z16" i="30"/>
  <c r="Z29" i="30"/>
  <c r="AG8" i="30"/>
  <c r="AF16" i="30"/>
  <c r="AF29" i="30"/>
  <c r="BE29" i="29"/>
  <c r="BL8" i="29"/>
  <c r="BF8" i="29"/>
  <c r="BG8" i="29" s="1"/>
  <c r="BH8" i="29" s="1"/>
  <c r="BE16" i="29"/>
  <c r="BD29" i="41"/>
  <c r="BD16" i="41"/>
  <c r="BE8" i="41"/>
  <c r="BD16" i="30"/>
  <c r="BD29" i="30"/>
  <c r="BE8" i="30"/>
  <c r="BD24" i="41" l="1"/>
  <c r="BD24" i="30"/>
  <c r="BD12" i="30"/>
  <c r="BD12" i="41"/>
  <c r="Y12" i="41"/>
  <c r="Y12" i="30"/>
  <c r="Y24" i="30"/>
  <c r="Y24" i="41"/>
  <c r="Y25" i="41"/>
  <c r="Y25" i="30"/>
  <c r="Z24" i="29"/>
  <c r="Z25" i="29"/>
  <c r="AB29" i="30"/>
  <c r="AC8" i="30"/>
  <c r="AB16" i="30"/>
  <c r="V42" i="30"/>
  <c r="BI8" i="29"/>
  <c r="BH29" i="29"/>
  <c r="BH16" i="29"/>
  <c r="AK14" i="41"/>
  <c r="V38" i="41"/>
  <c r="V40" i="41" s="1"/>
  <c r="AK14" i="30"/>
  <c r="Q51" i="32"/>
  <c r="AK35" i="41"/>
  <c r="X27" i="30"/>
  <c r="AK35" i="30"/>
  <c r="Q18" i="32"/>
  <c r="E14" i="30"/>
  <c r="E35" i="30"/>
  <c r="BA38" i="30"/>
  <c r="BA40" i="30" s="1"/>
  <c r="BC14" i="30"/>
  <c r="W37" i="30"/>
  <c r="W38" i="30" s="1"/>
  <c r="W40" i="30" s="1"/>
  <c r="X14" i="30"/>
  <c r="X35" i="41"/>
  <c r="Q38" i="36"/>
  <c r="I38" i="36"/>
  <c r="R38" i="36" s="1"/>
  <c r="Q24" i="36"/>
  <c r="Q28" i="36" s="1"/>
  <c r="N60" i="36" s="1"/>
  <c r="E47" i="32" s="1"/>
  <c r="H28" i="36"/>
  <c r="E60" i="36" s="1"/>
  <c r="E14" i="32" s="1"/>
  <c r="Q39" i="36"/>
  <c r="I39" i="36"/>
  <c r="R39" i="36" s="1"/>
  <c r="H40" i="36"/>
  <c r="E61" i="36" s="1"/>
  <c r="E15" i="32" s="1"/>
  <c r="Q37" i="36"/>
  <c r="BD18" i="30"/>
  <c r="BD18" i="41"/>
  <c r="Y22" i="30"/>
  <c r="Y22" i="41"/>
  <c r="Y10" i="41"/>
  <c r="Y10" i="30"/>
  <c r="I32" i="36"/>
  <c r="R32" i="36" s="1"/>
  <c r="P32" i="36"/>
  <c r="G40" i="36"/>
  <c r="Y32" i="41"/>
  <c r="Y32" i="30"/>
  <c r="Y31" i="41"/>
  <c r="Y31" i="30"/>
  <c r="P36" i="36"/>
  <c r="I36" i="36"/>
  <c r="R36" i="36" s="1"/>
  <c r="BD10" i="41"/>
  <c r="BD10" i="30"/>
  <c r="Y23" i="41"/>
  <c r="Y23" i="30"/>
  <c r="BC35" i="41"/>
  <c r="BD22" i="30"/>
  <c r="AK22" i="30" s="1"/>
  <c r="BD22" i="41"/>
  <c r="AK22" i="41" s="1"/>
  <c r="Y18" i="41"/>
  <c r="Y18" i="30"/>
  <c r="P46" i="36"/>
  <c r="I46" i="36"/>
  <c r="R46" i="36" s="1"/>
  <c r="Q45" i="36"/>
  <c r="Q48" i="36" s="1"/>
  <c r="I45" i="36"/>
  <c r="R45" i="36" s="1"/>
  <c r="H48" i="36"/>
  <c r="BE22" i="29"/>
  <c r="BE10" i="29"/>
  <c r="BE23" i="29"/>
  <c r="BE24" i="29"/>
  <c r="BE18" i="29"/>
  <c r="BE33" i="29"/>
  <c r="BE31" i="29"/>
  <c r="BE32" i="29"/>
  <c r="BE12" i="29"/>
  <c r="BE25" i="29"/>
  <c r="W37" i="41"/>
  <c r="BC14" i="41"/>
  <c r="P44" i="36"/>
  <c r="G48" i="36"/>
  <c r="I44" i="36"/>
  <c r="R44" i="36" s="1"/>
  <c r="BD23" i="30"/>
  <c r="AK23" i="30" s="1"/>
  <c r="BD23" i="41"/>
  <c r="AK23" i="41" s="1"/>
  <c r="P37" i="36"/>
  <c r="I37" i="36"/>
  <c r="R37" i="36" s="1"/>
  <c r="G28" i="36"/>
  <c r="P24" i="36"/>
  <c r="I24" i="36"/>
  <c r="R24" i="36" s="1"/>
  <c r="X27" i="41"/>
  <c r="BA42" i="41"/>
  <c r="BA38" i="41"/>
  <c r="BA40" i="41" s="1"/>
  <c r="BD32" i="41"/>
  <c r="BD32" i="30"/>
  <c r="BC27" i="30"/>
  <c r="BC35" i="30"/>
  <c r="BD25" i="30"/>
  <c r="BD25" i="41"/>
  <c r="BD31" i="30"/>
  <c r="BD31" i="41"/>
  <c r="BC27" i="41"/>
  <c r="BB37" i="41"/>
  <c r="P25" i="36"/>
  <c r="I25" i="36"/>
  <c r="R25" i="36" s="1"/>
  <c r="BB37" i="30"/>
  <c r="X14" i="41"/>
  <c r="BF40" i="29"/>
  <c r="Z22" i="29"/>
  <c r="Z23" i="29"/>
  <c r="Z31" i="29"/>
  <c r="Z10" i="29"/>
  <c r="Z12" i="29"/>
  <c r="Z32" i="29"/>
  <c r="Z18" i="29"/>
  <c r="BD33" i="41"/>
  <c r="BD33" i="30"/>
  <c r="X35" i="30"/>
  <c r="P26" i="36"/>
  <c r="I26" i="36"/>
  <c r="R26" i="36" s="1"/>
  <c r="E35" i="41"/>
  <c r="E14" i="41"/>
  <c r="AH8" i="30"/>
  <c r="AG16" i="30"/>
  <c r="AG29" i="30"/>
  <c r="Y16" i="41"/>
  <c r="AF8" i="41"/>
  <c r="Z8" i="41"/>
  <c r="AA8" i="41" s="1"/>
  <c r="Y29" i="41"/>
  <c r="BF16" i="29"/>
  <c r="BF29" i="29"/>
  <c r="BF8" i="30"/>
  <c r="BG8" i="30" s="1"/>
  <c r="BE29" i="30"/>
  <c r="BE16" i="30"/>
  <c r="BL8" i="30"/>
  <c r="BF8" i="41"/>
  <c r="BG8" i="41" s="1"/>
  <c r="BE29" i="41"/>
  <c r="BL8" i="41"/>
  <c r="BE16" i="41"/>
  <c r="BL16" i="29"/>
  <c r="BM8" i="29"/>
  <c r="BL29" i="29"/>
  <c r="BE12" i="41" l="1"/>
  <c r="BE12" i="30"/>
  <c r="BE24" i="41"/>
  <c r="BE24" i="30"/>
  <c r="Z24" i="41"/>
  <c r="Z24" i="30"/>
  <c r="Z12" i="41"/>
  <c r="Z12" i="30"/>
  <c r="Z25" i="41"/>
  <c r="Z25" i="30"/>
  <c r="L14" i="32"/>
  <c r="L47" i="32"/>
  <c r="L16" i="32"/>
  <c r="L49" i="32"/>
  <c r="L48" i="32"/>
  <c r="L15" i="32"/>
  <c r="BH8" i="41"/>
  <c r="BG16" i="41"/>
  <c r="BG29" i="41"/>
  <c r="BH8" i="30"/>
  <c r="BG29" i="30"/>
  <c r="BG16" i="30"/>
  <c r="AC29" i="30"/>
  <c r="AD8" i="30"/>
  <c r="AC16" i="30"/>
  <c r="Y35" i="41"/>
  <c r="P48" i="36"/>
  <c r="R48" i="36" s="1"/>
  <c r="O62" i="36" s="1"/>
  <c r="AK27" i="41"/>
  <c r="AK37" i="41" s="1"/>
  <c r="AK38" i="41" s="1"/>
  <c r="AK40" i="41" s="1"/>
  <c r="AK27" i="30"/>
  <c r="AK37" i="30" s="1"/>
  <c r="AK38" i="30" s="1"/>
  <c r="AK40" i="30" s="1"/>
  <c r="BJ8" i="29"/>
  <c r="BK8" i="29" s="1"/>
  <c r="BI29" i="29"/>
  <c r="BI16" i="29"/>
  <c r="Q53" i="32"/>
  <c r="E61" i="32"/>
  <c r="AB8" i="41"/>
  <c r="AA16" i="41"/>
  <c r="AA29" i="41"/>
  <c r="E28" i="32"/>
  <c r="Q20" i="32"/>
  <c r="X37" i="30"/>
  <c r="X42" i="30" s="1"/>
  <c r="W42" i="30"/>
  <c r="Y35" i="30"/>
  <c r="Q40" i="36"/>
  <c r="N61" i="36" s="1"/>
  <c r="E48" i="32" s="1"/>
  <c r="BD27" i="41"/>
  <c r="M48" i="32" s="1"/>
  <c r="BD27" i="30"/>
  <c r="M15" i="32" s="1"/>
  <c r="E62" i="36"/>
  <c r="E16" i="32" s="1"/>
  <c r="H50" i="36"/>
  <c r="I48" i="36"/>
  <c r="F62" i="36" s="1"/>
  <c r="BC37" i="30"/>
  <c r="D62" i="36"/>
  <c r="D16" i="32" s="1"/>
  <c r="G50" i="36"/>
  <c r="N62" i="36"/>
  <c r="E49" i="32" s="1"/>
  <c r="Z10" i="41"/>
  <c r="Z10" i="30"/>
  <c r="BB38" i="30"/>
  <c r="BB40" i="30" s="1"/>
  <c r="BB42" i="30"/>
  <c r="W38" i="41"/>
  <c r="W40" i="41" s="1"/>
  <c r="W42" i="41"/>
  <c r="BE25" i="30"/>
  <c r="BE25" i="41"/>
  <c r="D61" i="36"/>
  <c r="D15" i="32" s="1"/>
  <c r="I40" i="36"/>
  <c r="F61" i="36" s="1"/>
  <c r="P40" i="36"/>
  <c r="BE32" i="41"/>
  <c r="BE32" i="30"/>
  <c r="BE22" i="41"/>
  <c r="BE22" i="30"/>
  <c r="BD14" i="41"/>
  <c r="M47" i="32" s="1"/>
  <c r="X37" i="41"/>
  <c r="BE31" i="30"/>
  <c r="BE31" i="41"/>
  <c r="Y14" i="30"/>
  <c r="BF23" i="29"/>
  <c r="BF22" i="29"/>
  <c r="BF25" i="29"/>
  <c r="BF32" i="29"/>
  <c r="BF10" i="29"/>
  <c r="BF18" i="29"/>
  <c r="BF12" i="29"/>
  <c r="BF33" i="29"/>
  <c r="BF24" i="29"/>
  <c r="BF31" i="29"/>
  <c r="BB38" i="41"/>
  <c r="BB40" i="41" s="1"/>
  <c r="BB42" i="41"/>
  <c r="BE33" i="41"/>
  <c r="BE33" i="30"/>
  <c r="Y14" i="41"/>
  <c r="Z23" i="30"/>
  <c r="E23" i="30" s="1"/>
  <c r="Z23" i="41"/>
  <c r="E23" i="41" s="1"/>
  <c r="BC37" i="41"/>
  <c r="P28" i="36"/>
  <c r="BE18" i="30"/>
  <c r="BE18" i="41"/>
  <c r="Z18" i="41"/>
  <c r="Z18" i="30"/>
  <c r="BD35" i="41"/>
  <c r="M49" i="32" s="1"/>
  <c r="D60" i="36"/>
  <c r="D14" i="32" s="1"/>
  <c r="I28" i="36"/>
  <c r="F60" i="36" s="1"/>
  <c r="Y27" i="30"/>
  <c r="Z22" i="41"/>
  <c r="E22" i="41" s="1"/>
  <c r="Z22" i="30"/>
  <c r="E22" i="30" s="1"/>
  <c r="Z32" i="41"/>
  <c r="Z32" i="30"/>
  <c r="BD35" i="30"/>
  <c r="M16" i="32" s="1"/>
  <c r="BE23" i="30"/>
  <c r="BE23" i="41"/>
  <c r="Y27" i="41"/>
  <c r="Z31" i="30"/>
  <c r="Z31" i="41"/>
  <c r="BE10" i="30"/>
  <c r="BE10" i="41"/>
  <c r="BD14" i="30"/>
  <c r="M14" i="32" s="1"/>
  <c r="AF16" i="41"/>
  <c r="AG8" i="41"/>
  <c r="AF29" i="41"/>
  <c r="Z16" i="41"/>
  <c r="Z29" i="41"/>
  <c r="AI8" i="30"/>
  <c r="AH16" i="30"/>
  <c r="AH29" i="30"/>
  <c r="BM16" i="29"/>
  <c r="BM29" i="29"/>
  <c r="BN8" i="29"/>
  <c r="BF29" i="41"/>
  <c r="BF16" i="41"/>
  <c r="BF29" i="30"/>
  <c r="BF16" i="30"/>
  <c r="BL29" i="30"/>
  <c r="BL16" i="30"/>
  <c r="BM8" i="30"/>
  <c r="BL16" i="41"/>
  <c r="BL29" i="41"/>
  <c r="BM8" i="41"/>
  <c r="BF12" i="30" l="1"/>
  <c r="BF12" i="41"/>
  <c r="BF24" i="41"/>
  <c r="BF24" i="30"/>
  <c r="M18" i="32"/>
  <c r="M20" i="32" s="1"/>
  <c r="M51" i="32"/>
  <c r="BI8" i="30"/>
  <c r="BH16" i="30"/>
  <c r="BH29" i="30"/>
  <c r="BI8" i="41"/>
  <c r="BH16" i="41"/>
  <c r="BH29" i="41"/>
  <c r="AD29" i="30"/>
  <c r="AE8" i="30"/>
  <c r="AD16" i="30"/>
  <c r="E27" i="30"/>
  <c r="E37" i="30" s="1"/>
  <c r="E38" i="30" s="1"/>
  <c r="E40" i="30" s="1"/>
  <c r="E27" i="41"/>
  <c r="E37" i="41" s="1"/>
  <c r="E38" i="41" s="1"/>
  <c r="E40" i="41" s="1"/>
  <c r="N14" i="32"/>
  <c r="N16" i="32"/>
  <c r="R16" i="32"/>
  <c r="N15" i="32"/>
  <c r="J16" i="32"/>
  <c r="R15" i="32"/>
  <c r="F15" i="32"/>
  <c r="F14" i="32"/>
  <c r="M62" i="36"/>
  <c r="D49" i="32" s="1"/>
  <c r="BK29" i="29"/>
  <c r="BK16" i="29"/>
  <c r="Y37" i="41"/>
  <c r="Y42" i="41" s="1"/>
  <c r="BJ29" i="29"/>
  <c r="BJ16" i="29"/>
  <c r="Z35" i="41"/>
  <c r="P50" i="36"/>
  <c r="D51" i="32" s="1"/>
  <c r="AB16" i="41"/>
  <c r="AB29" i="41"/>
  <c r="AC8" i="41"/>
  <c r="X38" i="30"/>
  <c r="X40" i="30" s="1"/>
  <c r="Q50" i="36"/>
  <c r="Q55" i="36" s="1"/>
  <c r="BD37" i="41"/>
  <c r="BD38" i="41" s="1"/>
  <c r="BD40" i="41" s="1"/>
  <c r="BE14" i="30"/>
  <c r="Z14" i="30"/>
  <c r="Z14" i="41"/>
  <c r="BF33" i="41"/>
  <c r="BF33" i="30"/>
  <c r="BF18" i="41"/>
  <c r="BF18" i="30"/>
  <c r="BF10" i="30"/>
  <c r="BF10" i="41"/>
  <c r="M61" i="36"/>
  <c r="D48" i="32" s="1"/>
  <c r="R40" i="36"/>
  <c r="O61" i="36" s="1"/>
  <c r="BF32" i="41"/>
  <c r="BF32" i="30"/>
  <c r="BE14" i="41"/>
  <c r="BF25" i="41"/>
  <c r="BF25" i="30"/>
  <c r="D18" i="32"/>
  <c r="D25" i="32" s="1"/>
  <c r="G51" i="36"/>
  <c r="D65" i="36" s="1"/>
  <c r="G55" i="36"/>
  <c r="D20" i="32" s="1"/>
  <c r="BF22" i="41"/>
  <c r="BF22" i="30"/>
  <c r="BF23" i="41"/>
  <c r="BF23" i="30"/>
  <c r="BC42" i="30"/>
  <c r="BC38" i="30"/>
  <c r="BC40" i="30" s="1"/>
  <c r="BF31" i="41"/>
  <c r="BF31" i="30"/>
  <c r="Z27" i="30"/>
  <c r="BE27" i="41"/>
  <c r="BC38" i="41"/>
  <c r="BC40" i="41" s="1"/>
  <c r="BC42" i="41"/>
  <c r="Z27" i="41"/>
  <c r="BE35" i="41"/>
  <c r="H51" i="36"/>
  <c r="E65" i="36" s="1"/>
  <c r="H55" i="36"/>
  <c r="E18" i="32"/>
  <c r="I50" i="36"/>
  <c r="Z35" i="30"/>
  <c r="Y37" i="30"/>
  <c r="BE35" i="30"/>
  <c r="F16" i="32"/>
  <c r="BE27" i="30"/>
  <c r="M60" i="36"/>
  <c r="D47" i="32" s="1"/>
  <c r="R28" i="36"/>
  <c r="O60" i="36" s="1"/>
  <c r="X38" i="41"/>
  <c r="X40" i="41" s="1"/>
  <c r="X42" i="41"/>
  <c r="BD37" i="30"/>
  <c r="AI16" i="30"/>
  <c r="AI29" i="30"/>
  <c r="AG16" i="41"/>
  <c r="AH8" i="41"/>
  <c r="AG29" i="41"/>
  <c r="BM29" i="41"/>
  <c r="BM16" i="41"/>
  <c r="BN8" i="41"/>
  <c r="BN8" i="30"/>
  <c r="BM29" i="30"/>
  <c r="BM16" i="30"/>
  <c r="BN16" i="29"/>
  <c r="BO8" i="29"/>
  <c r="BN29" i="29"/>
  <c r="E27" i="32" l="1"/>
  <c r="E60" i="32"/>
  <c r="M53" i="32"/>
  <c r="BJ8" i="30"/>
  <c r="BI29" i="30"/>
  <c r="BI16" i="30"/>
  <c r="BI16" i="41"/>
  <c r="BI29" i="41"/>
  <c r="BJ8" i="41"/>
  <c r="AE29" i="30"/>
  <c r="AE16" i="30"/>
  <c r="D58" i="32"/>
  <c r="N48" i="32"/>
  <c r="R48" i="32"/>
  <c r="N47" i="32"/>
  <c r="N49" i="32"/>
  <c r="R49" i="32"/>
  <c r="F48" i="32"/>
  <c r="F49" i="32"/>
  <c r="J49" i="32"/>
  <c r="F47" i="32"/>
  <c r="L18" i="32"/>
  <c r="L20" i="32" s="1"/>
  <c r="N20" i="32" s="1"/>
  <c r="R14" i="32"/>
  <c r="P18" i="32"/>
  <c r="J14" i="32"/>
  <c r="H18" i="32"/>
  <c r="Z37" i="30"/>
  <c r="Z38" i="30" s="1"/>
  <c r="Z40" i="30" s="1"/>
  <c r="Q51" i="36"/>
  <c r="N65" i="36" s="1"/>
  <c r="P55" i="36"/>
  <c r="D53" i="32" s="1"/>
  <c r="P51" i="36"/>
  <c r="M65" i="36" s="1"/>
  <c r="Y38" i="41"/>
  <c r="Y40" i="41" s="1"/>
  <c r="BD42" i="41"/>
  <c r="AK42" i="41" s="1"/>
  <c r="R50" i="36"/>
  <c r="BE37" i="30"/>
  <c r="BE42" i="30" s="1"/>
  <c r="AC16" i="41"/>
  <c r="AD8" i="41"/>
  <c r="AC29" i="41"/>
  <c r="BF14" i="41"/>
  <c r="Z37" i="41"/>
  <c r="Z42" i="41" s="1"/>
  <c r="E42" i="41" s="1"/>
  <c r="E51" i="32"/>
  <c r="E58" i="32" s="1"/>
  <c r="BF35" i="41"/>
  <c r="BF35" i="30"/>
  <c r="BE37" i="41"/>
  <c r="BF14" i="30"/>
  <c r="BF27" i="30"/>
  <c r="I18" i="32" s="1"/>
  <c r="H53" i="36"/>
  <c r="Y38" i="30"/>
  <c r="Y40" i="30" s="1"/>
  <c r="Y42" i="30"/>
  <c r="BF27" i="41"/>
  <c r="I48" i="32" s="1"/>
  <c r="I51" i="32" s="1"/>
  <c r="BD42" i="30"/>
  <c r="AK42" i="30" s="1"/>
  <c r="BD38" i="30"/>
  <c r="BD40" i="30" s="1"/>
  <c r="F18" i="32"/>
  <c r="E25" i="32"/>
  <c r="F25" i="32" s="1"/>
  <c r="E20" i="32"/>
  <c r="F20" i="32" s="1"/>
  <c r="I55" i="36"/>
  <c r="G53" i="36"/>
  <c r="D67" i="36" s="1"/>
  <c r="E53" i="32"/>
  <c r="AH16" i="41"/>
  <c r="AI8" i="41"/>
  <c r="AH29" i="41"/>
  <c r="BN29" i="41"/>
  <c r="BN16" i="41"/>
  <c r="BO8" i="41"/>
  <c r="BO29" i="29"/>
  <c r="BO16" i="29"/>
  <c r="BN16" i="30"/>
  <c r="BN29" i="30"/>
  <c r="BO8" i="30"/>
  <c r="J48" i="32" l="1"/>
  <c r="I20" i="32"/>
  <c r="E26" i="32"/>
  <c r="I53" i="32"/>
  <c r="E59" i="32"/>
  <c r="J15" i="32"/>
  <c r="BK8" i="41"/>
  <c r="BJ16" i="41"/>
  <c r="BJ29" i="41"/>
  <c r="BK8" i="30"/>
  <c r="BJ16" i="30"/>
  <c r="BJ29" i="30"/>
  <c r="F58" i="32"/>
  <c r="L51" i="32"/>
  <c r="D60" i="32" s="1"/>
  <c r="F60" i="32" s="1"/>
  <c r="D27" i="32"/>
  <c r="F27" i="32" s="1"/>
  <c r="R47" i="32"/>
  <c r="P51" i="32"/>
  <c r="N18" i="32"/>
  <c r="J47" i="32"/>
  <c r="H51" i="32"/>
  <c r="R18" i="32"/>
  <c r="D28" i="32"/>
  <c r="F28" i="32" s="1"/>
  <c r="P20" i="32"/>
  <c r="R20" i="32" s="1"/>
  <c r="H20" i="32"/>
  <c r="J20" i="32" s="1"/>
  <c r="D26" i="32"/>
  <c r="F26" i="32" s="1"/>
  <c r="J18" i="32"/>
  <c r="Q53" i="36"/>
  <c r="N67" i="36" s="1"/>
  <c r="Z42" i="30"/>
  <c r="E42" i="30" s="1"/>
  <c r="F53" i="32"/>
  <c r="R55" i="36"/>
  <c r="P53" i="36"/>
  <c r="M67" i="36" s="1"/>
  <c r="Z38" i="41"/>
  <c r="Z40" i="41" s="1"/>
  <c r="BE38" i="30"/>
  <c r="BE40" i="30" s="1"/>
  <c r="BF37" i="30"/>
  <c r="BF42" i="30" s="1"/>
  <c r="BF37" i="41"/>
  <c r="BF42" i="41" s="1"/>
  <c r="F51" i="32"/>
  <c r="AE8" i="41"/>
  <c r="AD29" i="41"/>
  <c r="AD16" i="41"/>
  <c r="E67" i="36"/>
  <c r="F67" i="36" s="1"/>
  <c r="I53" i="36"/>
  <c r="BE42" i="41"/>
  <c r="BE38" i="41"/>
  <c r="BE40" i="41" s="1"/>
  <c r="AI29" i="41"/>
  <c r="AI16" i="41"/>
  <c r="BO16" i="30"/>
  <c r="BO29" i="30"/>
  <c r="BO29" i="41"/>
  <c r="BO16" i="41"/>
  <c r="BK29" i="41" l="1"/>
  <c r="BK16" i="41"/>
  <c r="BK16" i="30"/>
  <c r="BK29" i="30"/>
  <c r="L53" i="32"/>
  <c r="N53" i="32" s="1"/>
  <c r="N51" i="32"/>
  <c r="R51" i="32"/>
  <c r="P53" i="32"/>
  <c r="R53" i="32" s="1"/>
  <c r="D61" i="32"/>
  <c r="F61" i="32" s="1"/>
  <c r="D59" i="32"/>
  <c r="F59" i="32" s="1"/>
  <c r="H53" i="32"/>
  <c r="J53" i="32" s="1"/>
  <c r="J51" i="32"/>
  <c r="O67" i="36"/>
  <c r="R53" i="36"/>
  <c r="BF38" i="30"/>
  <c r="BF40" i="30" s="1"/>
  <c r="BF38" i="41"/>
  <c r="BF40" i="41" s="1"/>
  <c r="AE16" i="41"/>
  <c r="AE29" i="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Choshane Phaahla</author>
  </authors>
  <commentList>
    <comment ref="D19" authorId="0" shapeId="0" xr:uid="{BE9635AC-EE90-43CD-8F40-1B1103F20DA4}">
      <text>
        <r>
          <rPr>
            <b/>
            <sz val="9"/>
            <color indexed="81"/>
            <rFont val="Tahoma"/>
            <family val="2"/>
          </rPr>
          <t xml:space="preserve">Select the current tariff
</t>
        </r>
      </text>
    </comment>
    <comment ref="D21" authorId="0" shapeId="0" xr:uid="{5A626EAC-BD57-4122-9DE7-13FE19775DB6}">
      <text>
        <r>
          <rPr>
            <b/>
            <sz val="9"/>
            <color indexed="81"/>
            <rFont val="Tahoma"/>
            <family val="2"/>
          </rPr>
          <t>Select the previous tariff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Jaqui Luksmidas</author>
  </authors>
  <commentList>
    <comment ref="L11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CorpActive:</t>
        </r>
        <r>
          <rPr>
            <sz val="9"/>
            <color indexed="81"/>
            <rFont val="Tahoma"/>
            <family val="2"/>
          </rPr>
          <t xml:space="preserve">
Note that the average number of days per month has been applied = 365/12. This is to ensure that an annual calculation will yield the same result.</t>
        </r>
      </text>
    </comment>
  </commentList>
</comments>
</file>

<file path=xl/sharedStrings.xml><?xml version="1.0" encoding="utf-8"?>
<sst xmlns="http://schemas.openxmlformats.org/spreadsheetml/2006/main" count="1417" uniqueCount="417">
  <si>
    <t>Tariff Input Sheet</t>
  </si>
  <si>
    <t>Please enter the required information below:</t>
  </si>
  <si>
    <t>Customer Name</t>
  </si>
  <si>
    <t xml:space="preserve">Account number </t>
  </si>
  <si>
    <t>Point of delivery ID</t>
  </si>
  <si>
    <t>Select tariff</t>
  </si>
  <si>
    <t>Select supply voltage</t>
  </si>
  <si>
    <t>Enter the customer name as it is displayed on the rates bill.</t>
  </si>
  <si>
    <t>Enter the account number as it is displayed on the rates bill.</t>
  </si>
  <si>
    <t>Enter the Point of Delivery ID as it is displayed on the rates bill.</t>
  </si>
  <si>
    <t>Select the appropriate customer supply size (kVA)</t>
  </si>
  <si>
    <t>kWh</t>
  </si>
  <si>
    <t>Low Demand</t>
  </si>
  <si>
    <t>High Demand</t>
  </si>
  <si>
    <t>Total</t>
  </si>
  <si>
    <t>ESKOM Financial Year End</t>
  </si>
  <si>
    <t>dd-mmm-yy</t>
  </si>
  <si>
    <t>Municipality Financial Year End</t>
  </si>
  <si>
    <t>Drop box selection driven by the supply voltage inputs</t>
  </si>
  <si>
    <t>Model Lists</t>
  </si>
  <si>
    <t>Tariff</t>
  </si>
  <si>
    <t>Tariff Category</t>
  </si>
  <si>
    <t>Megaflex</t>
  </si>
  <si>
    <t>Miniflex</t>
  </si>
  <si>
    <t>Nightsave Large</t>
  </si>
  <si>
    <t>Nightsave Rural</t>
  </si>
  <si>
    <t>Nightsave Small</t>
  </si>
  <si>
    <t>Ruraflex</t>
  </si>
  <si>
    <t>Tariffs</t>
  </si>
  <si>
    <t>Base Tariff</t>
  </si>
  <si>
    <t>Tariff Variant</t>
  </si>
  <si>
    <t>Businessrate</t>
  </si>
  <si>
    <t>Homelight</t>
  </si>
  <si>
    <t>Homepower</t>
  </si>
  <si>
    <t>Tariff ID</t>
  </si>
  <si>
    <t>Base Tariff ID</t>
  </si>
  <si>
    <t>Landrate</t>
  </si>
  <si>
    <t>20A</t>
  </si>
  <si>
    <t>60A</t>
  </si>
  <si>
    <t>Dx</t>
  </si>
  <si>
    <t>Base Tariffs</t>
  </si>
  <si>
    <t>Tariff Category ID</t>
  </si>
  <si>
    <t>Voltage</t>
  </si>
  <si>
    <t>&lt; 500V</t>
  </si>
  <si>
    <t>≥ 500V &amp; &lt; 66kV</t>
  </si>
  <si>
    <t>≥ 66kV &amp; ≤ 132kV</t>
  </si>
  <si>
    <t>&gt; 132kV</t>
  </si>
  <si>
    <t>Transmission zone</t>
  </si>
  <si>
    <t>[0 - 300km]</t>
  </si>
  <si>
    <t>[301 - 600km]</t>
  </si>
  <si>
    <t>[601 - 900km]</t>
  </si>
  <si>
    <t>[&gt; 900km]</t>
  </si>
  <si>
    <t>Local Authority</t>
  </si>
  <si>
    <t>Non-Local Authority</t>
  </si>
  <si>
    <t>Voltage ID</t>
  </si>
  <si>
    <t>Transmission Zone ID</t>
  </si>
  <si>
    <t>Code</t>
  </si>
  <si>
    <t>Selected Tariff Category</t>
  </si>
  <si>
    <t>Selected Supply Size</t>
  </si>
  <si>
    <t>Selected transmission zone</t>
  </si>
  <si>
    <t>Selected Supply Voltage</t>
  </si>
  <si>
    <t>Selected Base Tariff</t>
  </si>
  <si>
    <t>Capacity</t>
  </si>
  <si>
    <t>≤100kVA</t>
  </si>
  <si>
    <t>&gt;100kVA &amp; ≤500kVA</t>
  </si>
  <si>
    <t>&gt;500kVA &amp; ≤1MVA</t>
  </si>
  <si>
    <t>Key customer</t>
  </si>
  <si>
    <t>Capacity ID</t>
  </si>
  <si>
    <t>Selections</t>
  </si>
  <si>
    <t>Description</t>
  </si>
  <si>
    <t>ID</t>
  </si>
  <si>
    <t>Assumptions</t>
  </si>
  <si>
    <t>Supply voltage</t>
  </si>
  <si>
    <t>No of PODS</t>
  </si>
  <si>
    <t>Size of supply</t>
  </si>
  <si>
    <t>Distribution network demand charge</t>
  </si>
  <si>
    <t>Network charges</t>
  </si>
  <si>
    <t>Type</t>
  </si>
  <si>
    <t>Urban</t>
  </si>
  <si>
    <t>Rural</t>
  </si>
  <si>
    <t>c/kWh</t>
  </si>
  <si>
    <t>Units</t>
  </si>
  <si>
    <t>Total network charges</t>
  </si>
  <si>
    <t>Total energy charges</t>
  </si>
  <si>
    <t>Service charge</t>
  </si>
  <si>
    <t>Total excl VAT</t>
  </si>
  <si>
    <t>VAT</t>
  </si>
  <si>
    <t>Total account</t>
  </si>
  <si>
    <t>Average price c/kWh</t>
  </si>
  <si>
    <t>Tariff:</t>
  </si>
  <si>
    <t>Column1</t>
  </si>
  <si>
    <t>Energy</t>
  </si>
  <si>
    <t>% Change</t>
  </si>
  <si>
    <t>Other charges</t>
  </si>
  <si>
    <t>Total other charges</t>
  </si>
  <si>
    <t>Lookup values</t>
  </si>
  <si>
    <t>Days</t>
  </si>
  <si>
    <t>days</t>
  </si>
  <si>
    <t>Number of PODs</t>
  </si>
  <si>
    <t>Network demand charge [c/kWh]</t>
  </si>
  <si>
    <t>Service and administration charge [R/POD/day]</t>
  </si>
  <si>
    <t>Businessrate 1</t>
  </si>
  <si>
    <t>Businessrate 2</t>
  </si>
  <si>
    <t>Businessrate 3</t>
  </si>
  <si>
    <t>Businessrate 4</t>
  </si>
  <si>
    <t>Energy charge [c/kWh]</t>
  </si>
  <si>
    <t>Homepower 1</t>
  </si>
  <si>
    <t>Homepower 2</t>
  </si>
  <si>
    <t>Homepower 3</t>
  </si>
  <si>
    <t>Homepower 4</t>
  </si>
  <si>
    <t>Energy charge Block 1 [c/kWh]</t>
  </si>
  <si>
    <t>Homelight 20A</t>
  </si>
  <si>
    <t>Homelight 60A</t>
  </si>
  <si>
    <t>Landrate 1</t>
  </si>
  <si>
    <t>Landrate 2</t>
  </si>
  <si>
    <t>Landrate 3</t>
  </si>
  <si>
    <t>Landrate 4</t>
  </si>
  <si>
    <t>Energy charge Block 2 [c/kWh]</t>
  </si>
  <si>
    <t>Landrate Dx</t>
  </si>
  <si>
    <t>Rates - All Other</t>
  </si>
  <si>
    <t>Check tables</t>
  </si>
  <si>
    <t>Energy charges</t>
  </si>
  <si>
    <t>Environmental levy charge [c/kWh]</t>
  </si>
  <si>
    <t>Blocks</t>
  </si>
  <si>
    <t>Block 1</t>
  </si>
  <si>
    <t>Block 2</t>
  </si>
  <si>
    <t>Energy - Block 1</t>
  </si>
  <si>
    <t>Energy - Block 2</t>
  </si>
  <si>
    <t>Rates by Tariff</t>
  </si>
  <si>
    <t>Energy charges - High</t>
  </si>
  <si>
    <t>Selection Tables</t>
  </si>
  <si>
    <t>Dropbox ID</t>
  </si>
  <si>
    <t>Comparison Tariffs</t>
  </si>
  <si>
    <t>Current Period</t>
  </si>
  <si>
    <t>New Period</t>
  </si>
  <si>
    <t>Dates</t>
  </si>
  <si>
    <t>LPU Capacity</t>
  </si>
  <si>
    <t>SPU Capacity</t>
  </si>
  <si>
    <t>25kVA</t>
  </si>
  <si>
    <t>32kVA</t>
  </si>
  <si>
    <t>50kVA</t>
  </si>
  <si>
    <t>Customer Category</t>
  </si>
  <si>
    <t>Small Power User</t>
  </si>
  <si>
    <t>Large Power User</t>
  </si>
  <si>
    <t>Selected Customer Category</t>
  </si>
  <si>
    <t>SPU Selections</t>
  </si>
  <si>
    <t>LPU Selections</t>
  </si>
  <si>
    <t>5kVA, 16kVA, 20A or 60A</t>
  </si>
  <si>
    <t>Capacity List Count</t>
  </si>
  <si>
    <t>Compare Tables</t>
  </si>
  <si>
    <t>SPU</t>
  </si>
  <si>
    <t>Descriptions</t>
  </si>
  <si>
    <t>Select  supply size</t>
  </si>
  <si>
    <t>LPU</t>
  </si>
  <si>
    <t>Not Applicable</t>
  </si>
  <si>
    <t>Selected Tariff Type</t>
  </si>
  <si>
    <t>Tariff Type</t>
  </si>
  <si>
    <t>Season</t>
  </si>
  <si>
    <t>Total Charges</t>
  </si>
  <si>
    <t>Total Network Charges</t>
  </si>
  <si>
    <t>Total Energy Charges</t>
  </si>
  <si>
    <t>Other Charges</t>
  </si>
  <si>
    <t>Time of Use Toggle</t>
  </si>
  <si>
    <t>&gt;50kVA</t>
  </si>
  <si>
    <t>&gt;1MVA &amp; ≤5MVA</t>
  </si>
  <si>
    <t>&gt;5MVA</t>
  </si>
  <si>
    <t>LPU Voltage</t>
  </si>
  <si>
    <t>Model Tariffs</t>
  </si>
  <si>
    <t>Matrix Code</t>
  </si>
  <si>
    <t>Me</t>
  </si>
  <si>
    <t>Mi</t>
  </si>
  <si>
    <t>Ru</t>
  </si>
  <si>
    <t>NL</t>
  </si>
  <si>
    <t>NS</t>
  </si>
  <si>
    <t>NR</t>
  </si>
  <si>
    <t>Mapping</t>
  </si>
  <si>
    <t>Model Transmission Zone</t>
  </si>
  <si>
    <t>Model Voltage</t>
  </si>
  <si>
    <t>Model Category</t>
  </si>
  <si>
    <t>N</t>
  </si>
  <si>
    <t>Y</t>
  </si>
  <si>
    <t>kWhHP</t>
  </si>
  <si>
    <t>Table 1: 1 = LPU, 0 = SPU</t>
  </si>
  <si>
    <t>Rates LPU Energy Table</t>
  </si>
  <si>
    <t>Rates LPU by Voltage</t>
  </si>
  <si>
    <t>Rates SPU</t>
  </si>
  <si>
    <t>Admin &amp; Service Charges</t>
  </si>
  <si>
    <t>DxNDC Energy</t>
  </si>
  <si>
    <t>Reliab</t>
  </si>
  <si>
    <t>kWhRBlock1</t>
  </si>
  <si>
    <t>NAC POD</t>
  </si>
  <si>
    <t>SerS</t>
  </si>
  <si>
    <t>kWhRBlock4</t>
  </si>
  <si>
    <t>Months</t>
  </si>
  <si>
    <t>Month ID</t>
  </si>
  <si>
    <t>Network Charges</t>
  </si>
  <si>
    <t>Energy Charges</t>
  </si>
  <si>
    <t>Other</t>
  </si>
  <si>
    <t>Calculations by Tariff</t>
  </si>
  <si>
    <t>Total Days</t>
  </si>
  <si>
    <t>Account Number</t>
  </si>
  <si>
    <t>Point of delivery</t>
  </si>
  <si>
    <t>Monthly Average Bill</t>
  </si>
  <si>
    <t xml:space="preserve">Please select tariffs from the dropdown boxes to set up the Comparison Report.
</t>
  </si>
  <si>
    <t>Average Price</t>
  </si>
  <si>
    <t>Rates Comparison</t>
  </si>
  <si>
    <t>Commercial Urban</t>
  </si>
  <si>
    <t>Residential Urban</t>
  </si>
  <si>
    <t>Long Type</t>
  </si>
  <si>
    <t>Average price</t>
  </si>
  <si>
    <t>Tariff Classification</t>
  </si>
  <si>
    <t>Network demand charge</t>
  </si>
  <si>
    <t>Total Comparison</t>
  </si>
  <si>
    <t>Select your tariff classification</t>
  </si>
  <si>
    <t>Selected Tariff in Compare</t>
  </si>
  <si>
    <t>Frequently Asked Questions</t>
  </si>
  <si>
    <t>kWh / month</t>
  </si>
  <si>
    <t>B1</t>
  </si>
  <si>
    <t>B2</t>
  </si>
  <si>
    <t>B3</t>
  </si>
  <si>
    <t>B4</t>
  </si>
  <si>
    <t>HL20</t>
  </si>
  <si>
    <t>HL60</t>
  </si>
  <si>
    <t>H1</t>
  </si>
  <si>
    <t>H2</t>
  </si>
  <si>
    <t>H3</t>
  </si>
  <si>
    <t>H4</t>
  </si>
  <si>
    <t>HB</t>
  </si>
  <si>
    <t>L1</t>
  </si>
  <si>
    <t>L2</t>
  </si>
  <si>
    <t>L3</t>
  </si>
  <si>
    <t>L4</t>
  </si>
  <si>
    <t>Ld</t>
  </si>
  <si>
    <t>Bulk</t>
  </si>
  <si>
    <t>Homepower Bulk</t>
  </si>
  <si>
    <t>Dx NAC</t>
  </si>
  <si>
    <t>Landlight</t>
  </si>
  <si>
    <t>Public Lighting All Night</t>
  </si>
  <si>
    <t>Public Lighting 24 Hours</t>
  </si>
  <si>
    <t>Public Lighting Urban Fixed</t>
  </si>
  <si>
    <t>Pa</t>
  </si>
  <si>
    <t>Pt</t>
  </si>
  <si>
    <t>Pu</t>
  </si>
  <si>
    <t>Public Lighting</t>
  </si>
  <si>
    <t>All Night</t>
  </si>
  <si>
    <t>24 Hours</t>
  </si>
  <si>
    <t>Urban Fixed</t>
  </si>
  <si>
    <t>Status</t>
  </si>
  <si>
    <t>]</t>
  </si>
  <si>
    <t>Need to add SPU tariffs</t>
  </si>
  <si>
    <t>Rates</t>
  </si>
  <si>
    <t>Update the New with 2015/16 rates</t>
  </si>
  <si>
    <t>Update the Current with 2014/15 rates</t>
  </si>
  <si>
    <t>Activate the Tx zone. This is needed for LPU tariff conversions</t>
  </si>
  <si>
    <t>Network capacity charge</t>
  </si>
  <si>
    <t xml:space="preserve">Ancillary service charge </t>
  </si>
  <si>
    <t>Ancillary service charge [c/kWh]</t>
  </si>
  <si>
    <t>Network capacity charge [R/POD/day]</t>
  </si>
  <si>
    <t>Tariff component name changes</t>
  </si>
  <si>
    <t>Change the Distribution network access charge NAC) to Distribution network capacity charge (NCC)</t>
  </si>
  <si>
    <t>Select either Non-Local Authority (Eskom), Local Authority (Municipality)</t>
  </si>
  <si>
    <t>2015/16</t>
  </si>
  <si>
    <t>2016/17</t>
  </si>
  <si>
    <t>Landlight 20A</t>
  </si>
  <si>
    <t>Landlight 60A</t>
  </si>
  <si>
    <t>Lt20</t>
  </si>
  <si>
    <t>Lt60</t>
  </si>
  <si>
    <t>Rates SPU - New</t>
  </si>
  <si>
    <t>Rates SPU - Current</t>
  </si>
  <si>
    <t>Update the New with 2016/17 rates</t>
  </si>
  <si>
    <t>Update the Current with 2015/16 rates</t>
  </si>
  <si>
    <t>Notes on updates</t>
  </si>
  <si>
    <t>Sheet</t>
  </si>
  <si>
    <t>Mapping
Lists</t>
  </si>
  <si>
    <t>Done</t>
  </si>
  <si>
    <t>Calculations are based on the average number of days per month:
Ave days per month  = Total number of days in year (365) / months (12)
                                     = 30.416667</t>
  </si>
  <si>
    <t>Block 1 kWh</t>
  </si>
  <si>
    <t>Tested &amp; validated by RPM's &amp; super-users</t>
  </si>
  <si>
    <t>Tested &amp; validated by PI team</t>
  </si>
  <si>
    <t>2017/18</t>
  </si>
  <si>
    <t>Update the New with 2017/18 rates</t>
  </si>
  <si>
    <t>Update the Current with 2016/17 rates</t>
  </si>
  <si>
    <t>check</t>
  </si>
  <si>
    <t>Compare_Tariff_List</t>
  </si>
  <si>
    <t>2018/19</t>
  </si>
  <si>
    <t>Update the New with 2018/19 rates</t>
  </si>
  <si>
    <t>Update the Current with 2017/18 rates</t>
  </si>
  <si>
    <t>Update VAT rate to 15%</t>
  </si>
  <si>
    <t>2019/20</t>
  </si>
  <si>
    <t>Update the Current with 2018/19 rates</t>
  </si>
  <si>
    <t>Update the New with 2019/20 rates</t>
  </si>
  <si>
    <t>Lists</t>
  </si>
  <si>
    <t>Update Eskom financial year  [Range K7]</t>
  </si>
  <si>
    <t>2020/21</t>
  </si>
  <si>
    <t>Update the New with 2020/21 rates</t>
  </si>
  <si>
    <t>Update the Current with 2019/20 rates</t>
  </si>
  <si>
    <t>Update the Current with 2021/22 rates</t>
  </si>
  <si>
    <t>Homeflex</t>
  </si>
  <si>
    <t>Homeflex 1</t>
  </si>
  <si>
    <t>Homeflex 2</t>
  </si>
  <si>
    <t>Homeflex 3</t>
  </si>
  <si>
    <t>Homeflex 4</t>
  </si>
  <si>
    <t>HF1</t>
  </si>
  <si>
    <t>HF2</t>
  </si>
  <si>
    <t>HF3</t>
  </si>
  <si>
    <t>HF4</t>
  </si>
  <si>
    <t>Workings</t>
  </si>
  <si>
    <t>Rates Table</t>
  </si>
  <si>
    <t xml:space="preserve">  Monthly Average Bill</t>
  </si>
  <si>
    <t xml:space="preserve">  Tariff Comparison</t>
  </si>
  <si>
    <t>Peak consumption</t>
  </si>
  <si>
    <t>Standard consumption</t>
  </si>
  <si>
    <t>Off-Peak consumption</t>
  </si>
  <si>
    <t>kWhHS</t>
  </si>
  <si>
    <t>kWhHO</t>
  </si>
  <si>
    <t>kWhLP</t>
  </si>
  <si>
    <t>kWhLS</t>
  </si>
  <si>
    <t>kWhLO</t>
  </si>
  <si>
    <t>High - Peak</t>
  </si>
  <si>
    <t>High - Standard</t>
  </si>
  <si>
    <t>High-Off Peak</t>
  </si>
  <si>
    <t>Low - Peak</t>
  </si>
  <si>
    <t>Low - Standard</t>
  </si>
  <si>
    <t>Low-Off Peak</t>
  </si>
  <si>
    <t>n/a</t>
  </si>
  <si>
    <t>Peak</t>
  </si>
  <si>
    <t>Standard</t>
  </si>
  <si>
    <t>Off-Peak</t>
  </si>
  <si>
    <t>Peak energy</t>
  </si>
  <si>
    <t>Standard energy</t>
  </si>
  <si>
    <t>Off-peak energy</t>
  </si>
  <si>
    <t>Network demand charge, Ancillary service charge and retail</t>
  </si>
  <si>
    <t>Network demand charge, Ancillary service charge and retail [c/kWh]</t>
  </si>
  <si>
    <t>Ave Homeflex Monthly Peak</t>
  </si>
  <si>
    <t>Ave Homeflex Monthly Standard</t>
  </si>
  <si>
    <t>Ave Homeflex Monthly Off-peak</t>
  </si>
  <si>
    <t>Ave Homeflex Total Monthly Consumption</t>
  </si>
  <si>
    <t>Total energy</t>
  </si>
  <si>
    <t>Ave Monthly Consumption for SPU tariffs excluding Homeflex</t>
  </si>
  <si>
    <t>Enter average monthly consumption for SPU tariffs excluding Homeflex</t>
  </si>
  <si>
    <t>Comparison against other tariffs High Demand</t>
  </si>
  <si>
    <t>Comparison against other tariffs Low Demand</t>
  </si>
  <si>
    <t>Summary High demand</t>
  </si>
  <si>
    <t>Summary Low demand</t>
  </si>
  <si>
    <t>Update the Current with 2023/24 rates</t>
  </si>
  <si>
    <t>RTP 2019/20</t>
  </si>
  <si>
    <t>Update the New with RTP 2019/20 rates</t>
  </si>
  <si>
    <t>Add RTP tariffs
Row 44 - 48
Range Q56 - AB107</t>
  </si>
  <si>
    <t>Feedback on</t>
  </si>
  <si>
    <t>Tested &amp; validated by Core Workgroup</t>
  </si>
  <si>
    <t>Send out on</t>
  </si>
  <si>
    <t>Update for Public Lighting Urban Fixed</t>
  </si>
  <si>
    <t>RTP 2021/22</t>
  </si>
  <si>
    <t>Update the New with RTP 2021/22 rates</t>
  </si>
  <si>
    <t>Add RTP Generation capacity charge</t>
  </si>
  <si>
    <t>RTP 2023/24</t>
  </si>
  <si>
    <t>Update the New with RTP 2023/24 rates</t>
  </si>
  <si>
    <t>RTP 2024/25</t>
  </si>
  <si>
    <t>Update the New with RTP 2024/25 rates</t>
  </si>
  <si>
    <t>Update the Current with 2024/25 rates</t>
  </si>
  <si>
    <t>Add RTP Legacy charge</t>
  </si>
  <si>
    <t>Municflex</t>
  </si>
  <si>
    <t>Municrate 1</t>
  </si>
  <si>
    <t>Municrate</t>
  </si>
  <si>
    <t>Municrate 2</t>
  </si>
  <si>
    <t>Municrate 3</t>
  </si>
  <si>
    <t>Municrate 4</t>
  </si>
  <si>
    <t>Mf</t>
  </si>
  <si>
    <t>Mr1</t>
  </si>
  <si>
    <t>Mr2</t>
  </si>
  <si>
    <t>Mr3</t>
  </si>
  <si>
    <t>Mr4</t>
  </si>
  <si>
    <t>Munic RTP Tariff</t>
  </si>
  <si>
    <t>Generation capacity charge</t>
  </si>
  <si>
    <t>Legacy charge</t>
  </si>
  <si>
    <t>GCC</t>
  </si>
  <si>
    <t>Legacy</t>
  </si>
  <si>
    <t>Generation capacity charge [R/POD/day]</t>
  </si>
  <si>
    <t>Legacy charge [c/kWh]</t>
  </si>
  <si>
    <t>R/POD/day</t>
  </si>
  <si>
    <t>R/PoD/day</t>
  </si>
  <si>
    <t xml:space="preserve">Electrification and rural subsidy </t>
  </si>
  <si>
    <t>Electrification and rural subsidy [c/kWh]</t>
  </si>
  <si>
    <t>ERS</t>
  </si>
  <si>
    <t>Non Munic</t>
  </si>
  <si>
    <t>Munic</t>
  </si>
  <si>
    <t>RTP Tariff</t>
  </si>
  <si>
    <t>Mr101Y</t>
  </si>
  <si>
    <t>Mr201Y</t>
  </si>
  <si>
    <t>Mr301Y</t>
  </si>
  <si>
    <t>Mr401Y</t>
  </si>
  <si>
    <t>Use assumed average urban residential profile</t>
  </si>
  <si>
    <t>Use customer 's own urban residential profile</t>
  </si>
  <si>
    <t>Select profile to use</t>
  </si>
  <si>
    <t>Include Homeflex default profile</t>
  </si>
  <si>
    <t>Inputs</t>
  </si>
  <si>
    <t>High demand season [Jun - Aug]</t>
  </si>
  <si>
    <t>Low demand season [Sep - May]</t>
  </si>
  <si>
    <t>Update the Current with 2025/26 rates</t>
  </si>
  <si>
    <t>2025/26</t>
  </si>
  <si>
    <t>Update the New with 2025/26 rates</t>
  </si>
  <si>
    <t>2024/25 Rates</t>
  </si>
  <si>
    <t>2025/26 Rates</t>
  </si>
  <si>
    <t>Select previous tariff</t>
  </si>
  <si>
    <t>Included previous tariff</t>
  </si>
  <si>
    <t>Updated sheet to show previous tariff</t>
  </si>
  <si>
    <t>Tariff Comparison</t>
  </si>
  <si>
    <t xml:space="preserve"> for 2024/25 and </t>
  </si>
  <si>
    <t xml:space="preserve">  for 2025/26 </t>
  </si>
  <si>
    <t>Updated sheet to align with input sheet previous tariff selection</t>
  </si>
  <si>
    <t>2026/27</t>
  </si>
  <si>
    <t>Update the New with 2026/27 rates</t>
  </si>
  <si>
    <t>NMD</t>
  </si>
  <si>
    <t>Version 6.17    13 March 2026</t>
  </si>
  <si>
    <t>kVA</t>
  </si>
  <si>
    <t>M40 should add up to 100%</t>
  </si>
  <si>
    <t>For Homeflex tariff enter average monthly consumption below in cell M33: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</si>
</sst>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 &quot;R&quot;\ * #,##0_ ;_ &quot;R&quot;\ * \-#,##0_ ;_ &quot;R&quot;\ * &quot;-&quot;_ ;_ @_ 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#,##0.0"/>
    <numFmt numFmtId="168" formatCode="#,##0.0000"/>
    <numFmt numFmtId="169" formatCode="_(* #,##0_);_(* \(#,##0\);_(* &quot;-&quot;_);_(@_)"/>
    <numFmt numFmtId="170" formatCode="0.0000%"/>
    <numFmt numFmtId="171" formatCode="0.0%"/>
    <numFmt numFmtId="172" formatCode="_(* #,##0.00_);_(* \(#,##0.00\);_(* &quot;-&quot;_);_(@_)"/>
    <numFmt numFmtId="173" formatCode="_(* #,##0.000000_);_(* \(#,##0.000000\);_(* &quot;-&quot;_);_(@_)"/>
    <numFmt numFmtId="174" formatCode="&quot;R&quot;\ #,##0;[Red]&quot;R&quot;\ \-#,##0"/>
    <numFmt numFmtId="175" formatCode="_(* #,##0.0_);_(* \(#,##0.0\);_(* &quot;-&quot;_);_(@_)"/>
  </numFmts>
  <fonts count="49"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7" tint="-0.2499465926084170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mbria"/>
      <family val="1"/>
      <scheme val="major"/>
    </font>
    <font>
      <i/>
      <sz val="9"/>
      <name val="Cambria"/>
      <family val="1"/>
      <scheme val="major"/>
    </font>
    <font>
      <sz val="9"/>
      <color theme="5"/>
      <name val="Calibri"/>
      <family val="2"/>
      <scheme val="minor"/>
    </font>
    <font>
      <sz val="9"/>
      <color theme="7" tint="0.3999755851924192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theme="7" tint="0.39994506668294322"/>
      <name val="Calibri"/>
      <family val="2"/>
      <scheme val="minor"/>
    </font>
    <font>
      <b/>
      <sz val="10"/>
      <color theme="0"/>
      <name val="Cambria"/>
      <family val="1"/>
      <scheme val="major"/>
    </font>
    <font>
      <b/>
      <sz val="9"/>
      <name val="Cambria"/>
      <family val="1"/>
      <scheme val="major"/>
    </font>
    <font>
      <b/>
      <sz val="12"/>
      <color theme="0"/>
      <name val="Cambria"/>
      <family val="1"/>
      <scheme val="major"/>
    </font>
    <font>
      <b/>
      <sz val="9"/>
      <name val="Calibri"/>
      <family val="2"/>
      <scheme val="minor"/>
    </font>
    <font>
      <sz val="10"/>
      <color indexed="22"/>
      <name val="Helvetica-Narrow"/>
      <family val="2"/>
    </font>
    <font>
      <i/>
      <sz val="9"/>
      <name val="Calibri"/>
      <family val="2"/>
      <scheme val="minor"/>
    </font>
    <font>
      <b/>
      <sz val="9"/>
      <color theme="7" tint="0.39994506668294322"/>
      <name val="Calibri"/>
      <family val="2"/>
      <scheme val="minor"/>
    </font>
    <font>
      <sz val="9"/>
      <color theme="5" tint="0.3999450666829432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10"/>
      <name val="Cambria"/>
      <family val="1"/>
      <scheme val="major"/>
    </font>
    <font>
      <sz val="10"/>
      <color theme="7" tint="-0.24994659260841701"/>
      <name val="Calibri"/>
      <family val="2"/>
      <scheme val="minor"/>
    </font>
    <font>
      <sz val="10"/>
      <color theme="7" tint="0.3999755851924192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5" tint="0.39994506668294322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name val="Century Gothic"/>
      <family val="2"/>
    </font>
    <font>
      <b/>
      <sz val="10"/>
      <name val="Wingdings 3"/>
      <family val="1"/>
      <charset val="2"/>
    </font>
    <font>
      <i/>
      <sz val="9"/>
      <color theme="0" tint="-0.499984740745262"/>
      <name val="Calibri"/>
      <family val="2"/>
      <scheme val="minor"/>
    </font>
    <font>
      <b/>
      <sz val="14"/>
      <name val="Century Gothic"/>
      <family val="2"/>
    </font>
    <font>
      <sz val="11"/>
      <name val="Century Gothic"/>
      <family val="2"/>
    </font>
    <font>
      <b/>
      <i/>
      <u/>
      <sz val="11"/>
      <name val="Century Gothic"/>
      <family val="2"/>
    </font>
    <font>
      <sz val="9"/>
      <color theme="0" tint="-0.3499862666707357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0"/>
      <color theme="5" tint="0.39994506668294322"/>
      <name val="Calibri"/>
      <family val="2"/>
      <scheme val="minor"/>
    </font>
    <font>
      <sz val="10"/>
      <color theme="7" tint="-0.2499465926084170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name val="Arial Unicode MS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6" tint="0.79998168889431442"/>
      <name val="Cambria"/>
      <family val="1"/>
      <scheme val="major"/>
    </font>
    <font>
      <sz val="9"/>
      <color theme="6" tint="0.79998168889431442"/>
      <name val="Calibri"/>
      <family val="2"/>
      <scheme val="minor"/>
    </font>
    <font>
      <sz val="10"/>
      <color theme="5" tint="0.39994506668294322"/>
      <name val="Calibri"/>
      <family val="2"/>
      <scheme val="minor"/>
    </font>
    <font>
      <sz val="9"/>
      <color theme="7" tint="-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/>
      <right/>
      <top style="thick">
        <color theme="3"/>
      </top>
      <bottom/>
      <diagonal/>
    </border>
    <border>
      <left style="thin">
        <color theme="3"/>
      </left>
      <right style="thin">
        <color theme="3"/>
      </right>
      <top style="thick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/>
      <bottom style="thick">
        <color theme="3"/>
      </bottom>
      <diagonal/>
    </border>
    <border>
      <left/>
      <right style="thin">
        <color theme="3"/>
      </right>
      <top/>
      <bottom/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/>
      <right style="thin">
        <color theme="3"/>
      </right>
      <top style="medium">
        <color theme="3"/>
      </top>
      <bottom style="medium">
        <color theme="3"/>
      </bottom>
      <diagonal/>
    </border>
    <border>
      <left/>
      <right style="thin">
        <color theme="3"/>
      </right>
      <top/>
      <bottom style="hair">
        <color theme="3"/>
      </bottom>
      <diagonal/>
    </border>
    <border>
      <left/>
      <right/>
      <top/>
      <bottom style="hair">
        <color theme="3"/>
      </bottom>
      <diagonal/>
    </border>
    <border>
      <left style="thin">
        <color theme="3"/>
      </left>
      <right style="thin">
        <color theme="3"/>
      </right>
      <top/>
      <bottom style="hair">
        <color theme="3"/>
      </bottom>
      <diagonal/>
    </border>
    <border>
      <left/>
      <right/>
      <top style="hair">
        <color theme="3"/>
      </top>
      <bottom/>
      <diagonal/>
    </border>
    <border>
      <left/>
      <right style="thin">
        <color theme="3"/>
      </right>
      <top style="hair">
        <color theme="3"/>
      </top>
      <bottom/>
      <diagonal/>
    </border>
    <border>
      <left style="thin">
        <color theme="3"/>
      </left>
      <right style="thin">
        <color theme="3"/>
      </right>
      <top style="hair">
        <color theme="3"/>
      </top>
      <bottom/>
      <diagonal/>
    </border>
    <border>
      <left style="thin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/>
      <bottom/>
      <diagonal/>
    </border>
    <border>
      <left style="thin">
        <color theme="3"/>
      </left>
      <right style="medium">
        <color theme="3"/>
      </right>
      <top/>
      <bottom/>
      <diagonal/>
    </border>
    <border>
      <left style="thin">
        <color theme="3"/>
      </left>
      <right style="medium">
        <color theme="3"/>
      </right>
      <top/>
      <bottom style="hair">
        <color theme="3"/>
      </bottom>
      <diagonal/>
    </border>
    <border>
      <left style="medium">
        <color theme="3"/>
      </left>
      <right/>
      <top/>
      <bottom style="thin">
        <color theme="3"/>
      </bottom>
      <diagonal/>
    </border>
    <border>
      <left style="thin">
        <color theme="3"/>
      </left>
      <right style="medium">
        <color theme="3"/>
      </right>
      <top/>
      <bottom style="thin">
        <color theme="3"/>
      </bottom>
      <diagonal/>
    </border>
    <border>
      <left style="thin">
        <color theme="3"/>
      </left>
      <right style="medium">
        <color theme="3"/>
      </right>
      <top style="hair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7"/>
      </bottom>
      <diagonal/>
    </border>
    <border>
      <left style="medium">
        <color theme="3"/>
      </left>
      <right/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/>
      <diagonal/>
    </border>
  </borders>
  <cellStyleXfs count="46">
    <xf numFmtId="0" fontId="0" fillId="0" borderId="0"/>
    <xf numFmtId="0" fontId="13" fillId="4" borderId="0"/>
    <xf numFmtId="0" fontId="11" fillId="5" borderId="0"/>
    <xf numFmtId="0" fontId="12" fillId="6" borderId="0"/>
    <xf numFmtId="0" fontId="12" fillId="0" borderId="6"/>
    <xf numFmtId="10" fontId="1" fillId="0" borderId="0" applyProtection="0">
      <alignment horizontal="right"/>
    </xf>
    <xf numFmtId="167" fontId="1" fillId="0" borderId="0" applyFill="0" applyBorder="0" applyProtection="0">
      <alignment horizontal="right"/>
    </xf>
    <xf numFmtId="4" fontId="1" fillId="0" borderId="0" applyFill="0" applyBorder="0" applyProtection="0">
      <alignment horizontal="right"/>
    </xf>
    <xf numFmtId="168" fontId="1" fillId="0" borderId="0">
      <alignment horizontal="right"/>
    </xf>
    <xf numFmtId="169" fontId="1" fillId="0" borderId="0" applyFill="0" applyBorder="0" applyProtection="0">
      <alignment horizontal="right"/>
    </xf>
    <xf numFmtId="0" fontId="2" fillId="0" borderId="1"/>
    <xf numFmtId="15" fontId="3" fillId="0" borderId="0"/>
    <xf numFmtId="17" fontId="4" fillId="2" borderId="2"/>
    <xf numFmtId="0" fontId="5" fillId="0" borderId="0" applyAlignment="0"/>
    <xf numFmtId="10" fontId="2" fillId="3" borderId="1">
      <alignment horizontal="right"/>
      <protection locked="0"/>
    </xf>
    <xf numFmtId="4" fontId="2" fillId="3" borderId="1">
      <alignment horizontal="right"/>
      <protection locked="0"/>
    </xf>
    <xf numFmtId="168" fontId="2" fillId="3" borderId="1">
      <alignment horizontal="right"/>
      <protection locked="0"/>
    </xf>
    <xf numFmtId="170" fontId="2" fillId="3" borderId="1">
      <alignment horizontal="right"/>
      <protection locked="0"/>
    </xf>
    <xf numFmtId="10" fontId="2" fillId="0" borderId="1">
      <alignment horizontal="right"/>
      <protection locked="0"/>
    </xf>
    <xf numFmtId="4" fontId="2" fillId="0" borderId="1">
      <alignment horizontal="right"/>
      <protection locked="0"/>
    </xf>
    <xf numFmtId="168" fontId="2" fillId="0" borderId="1">
      <alignment horizontal="right"/>
      <protection locked="0"/>
    </xf>
    <xf numFmtId="169" fontId="2" fillId="0" borderId="1">
      <alignment horizontal="right"/>
      <protection locked="0"/>
    </xf>
    <xf numFmtId="15" fontId="2" fillId="3" borderId="1">
      <protection locked="0"/>
    </xf>
    <xf numFmtId="169" fontId="2" fillId="3" borderId="1">
      <alignment horizontal="right"/>
      <protection locked="0"/>
    </xf>
    <xf numFmtId="0" fontId="2" fillId="3" borderId="1">
      <protection locked="0"/>
    </xf>
    <xf numFmtId="4" fontId="6" fillId="0" borderId="1">
      <alignment horizontal="right"/>
      <protection locked="0"/>
    </xf>
    <xf numFmtId="169" fontId="18" fillId="0" borderId="1">
      <alignment horizontal="right"/>
      <protection locked="0"/>
    </xf>
    <xf numFmtId="0" fontId="7" fillId="0" borderId="0">
      <protection locked="0"/>
    </xf>
    <xf numFmtId="10" fontId="8" fillId="0" borderId="3"/>
    <xf numFmtId="4" fontId="8" fillId="0" borderId="3"/>
    <xf numFmtId="0" fontId="8" fillId="0" borderId="3"/>
    <xf numFmtId="169" fontId="9" fillId="0" borderId="3">
      <alignment horizontal="right"/>
    </xf>
    <xf numFmtId="10" fontId="8" fillId="0" borderId="4"/>
    <xf numFmtId="4" fontId="9" fillId="0" borderId="4">
      <alignment horizontal="right"/>
    </xf>
    <xf numFmtId="0" fontId="8" fillId="0" borderId="4">
      <alignment horizontal="left"/>
    </xf>
    <xf numFmtId="169" fontId="9" fillId="0" borderId="4">
      <alignment horizontal="right"/>
    </xf>
    <xf numFmtId="171" fontId="8" fillId="0" borderId="5"/>
    <xf numFmtId="172" fontId="9" fillId="0" borderId="5">
      <alignment horizontal="right"/>
    </xf>
    <xf numFmtId="0" fontId="8" fillId="0" borderId="5">
      <alignment horizontal="left"/>
    </xf>
    <xf numFmtId="169" fontId="9" fillId="0" borderId="5">
      <alignment horizontal="right"/>
    </xf>
    <xf numFmtId="0" fontId="10" fillId="0" borderId="0" applyBorder="0">
      <alignment horizontal="left" indent="1"/>
    </xf>
    <xf numFmtId="0" fontId="15" fillId="0" borderId="0" applyNumberFormat="0" applyProtection="0"/>
    <xf numFmtId="164" fontId="1" fillId="0" borderId="0" applyFill="0" applyBorder="0" applyProtection="0">
      <alignment horizontal="right"/>
    </xf>
    <xf numFmtId="164" fontId="9" fillId="0" borderId="4">
      <alignment horizontal="right"/>
    </xf>
    <xf numFmtId="164" fontId="9" fillId="0" borderId="3">
      <alignment horizontal="right"/>
    </xf>
    <xf numFmtId="9" fontId="3" fillId="0" borderId="0" applyFont="0" applyFill="0" applyBorder="0" applyAlignment="0" applyProtection="0"/>
  </cellStyleXfs>
  <cellXfs count="234">
    <xf numFmtId="0" fontId="0" fillId="0" borderId="0" xfId="0"/>
    <xf numFmtId="0" fontId="13" fillId="4" borderId="0" xfId="1"/>
    <xf numFmtId="0" fontId="8" fillId="0" borderId="0" xfId="0" applyFont="1"/>
    <xf numFmtId="169" fontId="2" fillId="3" borderId="1" xfId="23">
      <alignment horizontal="right"/>
      <protection locked="0"/>
    </xf>
    <xf numFmtId="169" fontId="1" fillId="0" borderId="0" xfId="9">
      <alignment horizontal="right"/>
    </xf>
    <xf numFmtId="169" fontId="9" fillId="0" borderId="4" xfId="35">
      <alignment horizontal="right"/>
    </xf>
    <xf numFmtId="0" fontId="8" fillId="0" borderId="4" xfId="34">
      <alignment horizontal="left"/>
    </xf>
    <xf numFmtId="0" fontId="12" fillId="0" borderId="6" xfId="4"/>
    <xf numFmtId="0" fontId="2" fillId="3" borderId="1" xfId="24">
      <protection locked="0"/>
    </xf>
    <xf numFmtId="0" fontId="7" fillId="0" borderId="0" xfId="27" applyAlignment="1">
      <alignment horizontal="left" indent="2"/>
      <protection locked="0"/>
    </xf>
    <xf numFmtId="0" fontId="0" fillId="0" borderId="0" xfId="0" applyAlignment="1">
      <alignment horizontal="left" indent="2"/>
    </xf>
    <xf numFmtId="0" fontId="0" fillId="0" borderId="8" xfId="0" applyBorder="1"/>
    <xf numFmtId="0" fontId="0" fillId="0" borderId="9" xfId="0" applyBorder="1"/>
    <xf numFmtId="0" fontId="8" fillId="0" borderId="10" xfId="0" applyFont="1" applyBorder="1" applyAlignment="1">
      <alignment horizontal="centerContinuous"/>
    </xf>
    <xf numFmtId="0" fontId="0" fillId="0" borderId="11" xfId="0" applyBorder="1"/>
    <xf numFmtId="0" fontId="12" fillId="6" borderId="0" xfId="3"/>
    <xf numFmtId="0" fontId="12" fillId="6" borderId="0" xfId="3" applyAlignment="1">
      <alignment horizontal="center" vertical="center" wrapText="1"/>
    </xf>
    <xf numFmtId="0" fontId="12" fillId="6" borderId="0" xfId="3" applyAlignment="1">
      <alignment vertical="center"/>
    </xf>
    <xf numFmtId="4" fontId="1" fillId="0" borderId="0" xfId="7">
      <alignment horizontal="right"/>
    </xf>
    <xf numFmtId="0" fontId="8" fillId="0" borderId="7" xfId="0" applyFont="1" applyBorder="1"/>
    <xf numFmtId="0" fontId="0" fillId="0" borderId="0" xfId="0" applyAlignment="1">
      <alignment horizontal="left"/>
    </xf>
    <xf numFmtId="0" fontId="10" fillId="0" borderId="0" xfId="40">
      <alignment horizontal="left" indent="1"/>
    </xf>
    <xf numFmtId="169" fontId="0" fillId="0" borderId="0" xfId="0" applyNumberFormat="1"/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10" fontId="1" fillId="0" borderId="0" xfId="5">
      <alignment horizontal="right"/>
    </xf>
    <xf numFmtId="0" fontId="11" fillId="5" borderId="0" xfId="2"/>
    <xf numFmtId="0" fontId="8" fillId="0" borderId="3" xfId="30"/>
    <xf numFmtId="10" fontId="8" fillId="0" borderId="4" xfId="32"/>
    <xf numFmtId="169" fontId="9" fillId="0" borderId="3" xfId="31">
      <alignment horizontal="right"/>
    </xf>
    <xf numFmtId="10" fontId="8" fillId="0" borderId="3" xfId="28"/>
    <xf numFmtId="9" fontId="0" fillId="0" borderId="0" xfId="0" applyNumberFormat="1"/>
    <xf numFmtId="0" fontId="13" fillId="4" borderId="0" xfId="1" applyAlignment="1">
      <alignment horizontal="right"/>
    </xf>
    <xf numFmtId="0" fontId="14" fillId="0" borderId="13" xfId="0" applyFont="1" applyBorder="1" applyAlignment="1">
      <alignment horizontal="center" vertical="center" wrapText="1"/>
    </xf>
    <xf numFmtId="4" fontId="1" fillId="0" borderId="0" xfId="7" applyFill="1">
      <alignment horizontal="right"/>
    </xf>
    <xf numFmtId="0" fontId="11" fillId="5" borderId="0" xfId="2" applyAlignment="1">
      <alignment horizontal="center" vertical="center" wrapText="1"/>
    </xf>
    <xf numFmtId="0" fontId="11" fillId="5" borderId="0" xfId="2" applyAlignment="1">
      <alignment vertical="center"/>
    </xf>
    <xf numFmtId="166" fontId="8" fillId="0" borderId="0" xfId="0" applyNumberFormat="1" applyFont="1"/>
    <xf numFmtId="10" fontId="9" fillId="0" borderId="0" xfId="5" applyFont="1">
      <alignment horizontal="right"/>
    </xf>
    <xf numFmtId="4" fontId="1" fillId="7" borderId="0" xfId="7" applyFill="1">
      <alignment horizontal="right"/>
    </xf>
    <xf numFmtId="0" fontId="0" fillId="0" borderId="0" xfId="0" applyAlignment="1">
      <alignment vertical="center"/>
    </xf>
    <xf numFmtId="0" fontId="7" fillId="0" borderId="0" xfId="27" applyAlignment="1">
      <alignment horizontal="left" vertical="center"/>
      <protection locked="0"/>
    </xf>
    <xf numFmtId="0" fontId="7" fillId="0" borderId="0" xfId="27" applyAlignment="1">
      <alignment horizontal="left" vertical="center" indent="2"/>
      <protection locked="0"/>
    </xf>
    <xf numFmtId="169" fontId="1" fillId="7" borderId="0" xfId="9" applyFill="1">
      <alignment horizontal="right"/>
    </xf>
    <xf numFmtId="0" fontId="0" fillId="8" borderId="0" xfId="0" applyFill="1"/>
    <xf numFmtId="10" fontId="1" fillId="8" borderId="0" xfId="5" applyFill="1">
      <alignment horizontal="right"/>
    </xf>
    <xf numFmtId="10" fontId="8" fillId="8" borderId="4" xfId="32" applyFill="1"/>
    <xf numFmtId="166" fontId="8" fillId="8" borderId="0" xfId="0" applyNumberFormat="1" applyFont="1" applyFill="1"/>
    <xf numFmtId="10" fontId="9" fillId="8" borderId="0" xfId="5" applyFont="1" applyFill="1">
      <alignment horizontal="right"/>
    </xf>
    <xf numFmtId="169" fontId="1" fillId="0" borderId="0" xfId="9" applyFill="1">
      <alignment horizontal="right"/>
    </xf>
    <xf numFmtId="0" fontId="17" fillId="0" borderId="0" xfId="40" applyFont="1">
      <alignment horizontal="left" indent="1"/>
    </xf>
    <xf numFmtId="0" fontId="16" fillId="0" borderId="0" xfId="0" applyFont="1"/>
    <xf numFmtId="0" fontId="0" fillId="0" borderId="0" xfId="0" applyAlignment="1">
      <alignment horizontal="centerContinuous" vertical="center"/>
    </xf>
    <xf numFmtId="164" fontId="1" fillId="0" borderId="0" xfId="42">
      <alignment horizontal="right"/>
    </xf>
    <xf numFmtId="164" fontId="9" fillId="0" borderId="4" xfId="43">
      <alignment horizontal="right"/>
    </xf>
    <xf numFmtId="164" fontId="9" fillId="0" borderId="3" xfId="44">
      <alignment horizontal="right"/>
    </xf>
    <xf numFmtId="0" fontId="7" fillId="0" borderId="0" xfId="27">
      <protection locked="0"/>
    </xf>
    <xf numFmtId="165" fontId="0" fillId="0" borderId="0" xfId="0" applyNumberFormat="1"/>
    <xf numFmtId="164" fontId="1" fillId="8" borderId="0" xfId="42" applyFill="1">
      <alignment horizontal="right"/>
    </xf>
    <xf numFmtId="164" fontId="9" fillId="8" borderId="4" xfId="43" applyFill="1">
      <alignment horizontal="right"/>
    </xf>
    <xf numFmtId="164" fontId="9" fillId="8" borderId="0" xfId="42" applyFont="1" applyFill="1">
      <alignment horizontal="right"/>
    </xf>
    <xf numFmtId="0" fontId="0" fillId="8" borderId="0" xfId="0" applyFill="1" applyAlignment="1">
      <alignment horizontal="centerContinuous" vertical="center"/>
    </xf>
    <xf numFmtId="0" fontId="0" fillId="0" borderId="0" xfId="0" applyProtection="1">
      <protection locked="0"/>
    </xf>
    <xf numFmtId="10" fontId="0" fillId="0" borderId="0" xfId="0" applyNumberFormat="1"/>
    <xf numFmtId="0" fontId="21" fillId="0" borderId="0" xfId="0" applyFont="1"/>
    <xf numFmtId="0" fontId="21" fillId="0" borderId="0" xfId="0" quotePrefix="1" applyFont="1" applyAlignment="1">
      <alignment horizontal="left"/>
    </xf>
    <xf numFmtId="0" fontId="22" fillId="6" borderId="0" xfId="3" applyFont="1"/>
    <xf numFmtId="169" fontId="23" fillId="0" borderId="1" xfId="21" applyFont="1">
      <alignment horizontal="right"/>
      <protection locked="0"/>
    </xf>
    <xf numFmtId="0" fontId="24" fillId="0" borderId="0" xfId="27" applyFont="1" applyAlignment="1">
      <alignment horizontal="left" indent="2"/>
      <protection locked="0"/>
    </xf>
    <xf numFmtId="15" fontId="21" fillId="0" borderId="0" xfId="11" applyFont="1"/>
    <xf numFmtId="0" fontId="25" fillId="0" borderId="0" xfId="0" applyFont="1"/>
    <xf numFmtId="0" fontId="23" fillId="3" borderId="1" xfId="24" applyFont="1">
      <protection locked="0"/>
    </xf>
    <xf numFmtId="15" fontId="21" fillId="0" borderId="0" xfId="11" applyFont="1" applyAlignment="1">
      <alignment horizontal="left"/>
    </xf>
    <xf numFmtId="169" fontId="26" fillId="0" borderId="1" xfId="26" applyFont="1">
      <alignment horizontal="right"/>
      <protection locked="0"/>
    </xf>
    <xf numFmtId="4" fontId="23" fillId="0" borderId="12" xfId="15" applyFont="1" applyFill="1" applyBorder="1">
      <alignment horizontal="right"/>
      <protection locked="0"/>
    </xf>
    <xf numFmtId="4" fontId="23" fillId="0" borderId="1" xfId="15" applyFont="1" applyFill="1">
      <alignment horizontal="right"/>
      <protection locked="0"/>
    </xf>
    <xf numFmtId="4" fontId="23" fillId="0" borderId="1" xfId="19" applyFont="1">
      <alignment horizontal="right"/>
      <protection locked="0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10" xfId="0" applyFont="1" applyBorder="1" applyAlignment="1">
      <alignment horizontal="centerContinuous"/>
    </xf>
    <xf numFmtId="0" fontId="27" fillId="0" borderId="11" xfId="0" applyFont="1" applyBorder="1" applyAlignment="1">
      <alignment horizontal="centerContinuous"/>
    </xf>
    <xf numFmtId="0" fontId="27" fillId="0" borderId="9" xfId="0" applyFont="1" applyBorder="1"/>
    <xf numFmtId="0" fontId="28" fillId="0" borderId="0" xfId="0" applyFont="1"/>
    <xf numFmtId="0" fontId="7" fillId="0" borderId="0" xfId="27" quotePrefix="1" applyAlignment="1">
      <alignment horizontal="left" vertical="center" indent="2"/>
      <protection locked="0"/>
    </xf>
    <xf numFmtId="0" fontId="30" fillId="0" borderId="0" xfId="0" quotePrefix="1" applyFont="1" applyAlignment="1">
      <alignment horizontal="right"/>
    </xf>
    <xf numFmtId="0" fontId="0" fillId="0" borderId="0" xfId="0" quotePrefix="1" applyAlignment="1">
      <alignment horizontal="left"/>
    </xf>
    <xf numFmtId="15" fontId="23" fillId="10" borderId="1" xfId="22" applyFont="1" applyFill="1">
      <protection locked="0"/>
    </xf>
    <xf numFmtId="169" fontId="2" fillId="3" borderId="1" xfId="23" applyAlignment="1">
      <alignment horizontal="right" vertical="center"/>
      <protection locked="0"/>
    </xf>
    <xf numFmtId="169" fontId="26" fillId="0" borderId="14" xfId="26" applyFont="1" applyBorder="1">
      <alignment horizontal="right"/>
      <protection locked="0"/>
    </xf>
    <xf numFmtId="4" fontId="23" fillId="0" borderId="14" xfId="15" applyFont="1" applyFill="1" applyBorder="1">
      <alignment horizontal="right"/>
      <protection locked="0"/>
    </xf>
    <xf numFmtId="0" fontId="21" fillId="0" borderId="15" xfId="0" applyFont="1" applyBorder="1"/>
    <xf numFmtId="169" fontId="26" fillId="0" borderId="16" xfId="26" applyFont="1" applyBorder="1">
      <alignment horizontal="right"/>
      <protection locked="0"/>
    </xf>
    <xf numFmtId="4" fontId="23" fillId="0" borderId="16" xfId="19" applyFont="1" applyBorder="1">
      <alignment horizontal="right"/>
      <protection locked="0"/>
    </xf>
    <xf numFmtId="169" fontId="26" fillId="0" borderId="12" xfId="26" applyFont="1" applyBorder="1">
      <alignment horizontal="right"/>
      <protection locked="0"/>
    </xf>
    <xf numFmtId="4" fontId="23" fillId="0" borderId="12" xfId="19" applyFont="1" applyBorder="1">
      <alignment horizontal="right"/>
      <protection locked="0"/>
    </xf>
    <xf numFmtId="0" fontId="21" fillId="0" borderId="6" xfId="0" applyFont="1" applyBorder="1"/>
    <xf numFmtId="169" fontId="26" fillId="0" borderId="17" xfId="26" applyFont="1" applyBorder="1">
      <alignment horizontal="right"/>
      <protection locked="0"/>
    </xf>
    <xf numFmtId="4" fontId="23" fillId="0" borderId="17" xfId="19" applyFont="1" applyBorder="1">
      <alignment horizontal="right"/>
      <protection locked="0"/>
    </xf>
    <xf numFmtId="4" fontId="23" fillId="0" borderId="18" xfId="15" applyFont="1" applyFill="1" applyBorder="1">
      <alignment horizontal="right"/>
      <protection locked="0"/>
    </xf>
    <xf numFmtId="0" fontId="28" fillId="0" borderId="20" xfId="0" applyFont="1" applyBorder="1"/>
    <xf numFmtId="0" fontId="28" fillId="0" borderId="26" xfId="0" applyFont="1" applyBorder="1" applyAlignment="1">
      <alignment horizontal="left" vertical="top" wrapText="1"/>
    </xf>
    <xf numFmtId="0" fontId="28" fillId="0" borderId="26" xfId="0" applyFont="1" applyBorder="1" applyAlignment="1">
      <alignment horizontal="left" vertical="top" wrapText="1" indent="1"/>
    </xf>
    <xf numFmtId="0" fontId="28" fillId="0" borderId="26" xfId="0" quotePrefix="1" applyFont="1" applyBorder="1" applyAlignment="1">
      <alignment horizontal="left" vertical="top" wrapText="1" indent="1"/>
    </xf>
    <xf numFmtId="0" fontId="28" fillId="9" borderId="26" xfId="0" applyFont="1" applyFill="1" applyBorder="1" applyAlignment="1">
      <alignment horizontal="left" vertical="top" wrapText="1"/>
    </xf>
    <xf numFmtId="0" fontId="28" fillId="0" borderId="12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 indent="1"/>
    </xf>
    <xf numFmtId="0" fontId="28" fillId="0" borderId="19" xfId="0" quotePrefix="1" applyFont="1" applyBorder="1" applyAlignment="1">
      <alignment horizontal="left" vertical="top" wrapText="1" indent="1"/>
    </xf>
    <xf numFmtId="0" fontId="28" fillId="9" borderId="19" xfId="0" applyFont="1" applyFill="1" applyBorder="1" applyAlignment="1">
      <alignment horizontal="left" vertical="top" wrapText="1"/>
    </xf>
    <xf numFmtId="0" fontId="32" fillId="0" borderId="22" xfId="0" applyFont="1" applyBorder="1"/>
    <xf numFmtId="0" fontId="33" fillId="0" borderId="23" xfId="0" quotePrefix="1" applyFont="1" applyBorder="1" applyAlignment="1">
      <alignment horizontal="left"/>
    </xf>
    <xf numFmtId="0" fontId="32" fillId="0" borderId="27" xfId="0" applyFont="1" applyBorder="1"/>
    <xf numFmtId="0" fontId="33" fillId="0" borderId="24" xfId="0" applyFont="1" applyBorder="1" applyAlignment="1">
      <alignment horizontal="center"/>
    </xf>
    <xf numFmtId="0" fontId="33" fillId="0" borderId="25" xfId="0" applyFont="1" applyBorder="1" applyAlignment="1">
      <alignment horizontal="center"/>
    </xf>
    <xf numFmtId="0" fontId="28" fillId="0" borderId="29" xfId="0" applyFont="1" applyBorder="1"/>
    <xf numFmtId="0" fontId="28" fillId="0" borderId="28" xfId="0" applyFont="1" applyBorder="1" applyAlignment="1">
      <alignment horizontal="left" vertical="top" wrapText="1" indent="1"/>
    </xf>
    <xf numFmtId="0" fontId="28" fillId="0" borderId="30" xfId="0" applyFont="1" applyBorder="1" applyAlignment="1">
      <alignment horizontal="left" vertical="top" wrapText="1" indent="1"/>
    </xf>
    <xf numFmtId="0" fontId="28" fillId="0" borderId="28" xfId="0" quotePrefix="1" applyFont="1" applyBorder="1" applyAlignment="1">
      <alignment horizontal="left" vertical="top" wrapText="1" indent="1"/>
    </xf>
    <xf numFmtId="0" fontId="28" fillId="0" borderId="30" xfId="0" quotePrefix="1" applyFont="1" applyBorder="1" applyAlignment="1">
      <alignment horizontal="left" vertical="top" wrapText="1" indent="1"/>
    </xf>
    <xf numFmtId="0" fontId="28" fillId="0" borderId="21" xfId="0" quotePrefix="1" applyFont="1" applyBorder="1" applyAlignment="1">
      <alignment horizontal="left" vertical="top" wrapText="1"/>
    </xf>
    <xf numFmtId="0" fontId="34" fillId="0" borderId="0" xfId="0" applyFont="1"/>
    <xf numFmtId="0" fontId="21" fillId="9" borderId="0" xfId="0" applyFont="1" applyFill="1"/>
    <xf numFmtId="173" fontId="23" fillId="3" borderId="1" xfId="23" applyNumberFormat="1" applyFont="1">
      <alignment horizontal="right"/>
      <protection locked="0"/>
    </xf>
    <xf numFmtId="0" fontId="36" fillId="0" borderId="0" xfId="0" applyFont="1"/>
    <xf numFmtId="169" fontId="37" fillId="0" borderId="1" xfId="26" applyFont="1">
      <alignment horizontal="right"/>
      <protection locked="0"/>
    </xf>
    <xf numFmtId="4" fontId="38" fillId="0" borderId="1" xfId="19" applyFont="1">
      <alignment horizontal="right"/>
      <protection locked="0"/>
    </xf>
    <xf numFmtId="0" fontId="28" fillId="0" borderId="31" xfId="0" applyFont="1" applyBorder="1"/>
    <xf numFmtId="0" fontId="28" fillId="0" borderId="32" xfId="0" quotePrefix="1" applyFont="1" applyBorder="1" applyAlignment="1">
      <alignment horizontal="left" vertical="top" wrapText="1" indent="1"/>
    </xf>
    <xf numFmtId="0" fontId="28" fillId="0" borderId="33" xfId="0" quotePrefix="1" applyFont="1" applyBorder="1" applyAlignment="1">
      <alignment horizontal="left" vertical="top" wrapText="1" indent="1"/>
    </xf>
    <xf numFmtId="0" fontId="28" fillId="0" borderId="19" xfId="0" quotePrefix="1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9" fillId="0" borderId="0" xfId="0" applyFont="1"/>
    <xf numFmtId="0" fontId="0" fillId="0" borderId="0" xfId="0" applyAlignment="1">
      <alignment wrapText="1"/>
    </xf>
    <xf numFmtId="0" fontId="27" fillId="0" borderId="11" xfId="0" applyFont="1" applyBorder="1" applyAlignment="1">
      <alignment horizontal="left"/>
    </xf>
    <xf numFmtId="0" fontId="0" fillId="0" borderId="0" xfId="0" applyAlignment="1">
      <alignment horizontal="left" wrapText="1"/>
    </xf>
    <xf numFmtId="3" fontId="1" fillId="0" borderId="0" xfId="7" applyNumberFormat="1">
      <alignment horizontal="right"/>
    </xf>
    <xf numFmtId="1" fontId="0" fillId="0" borderId="0" xfId="0" applyNumberFormat="1" applyAlignment="1">
      <alignment horizontal="left" wrapText="1"/>
    </xf>
    <xf numFmtId="0" fontId="33" fillId="0" borderId="34" xfId="0" applyFont="1" applyBorder="1" applyAlignment="1">
      <alignment horizontal="center"/>
    </xf>
    <xf numFmtId="0" fontId="29" fillId="0" borderId="0" xfId="0" applyFont="1"/>
    <xf numFmtId="0" fontId="28" fillId="0" borderId="36" xfId="0" applyFont="1" applyBorder="1"/>
    <xf numFmtId="0" fontId="28" fillId="0" borderId="37" xfId="0" applyFont="1" applyBorder="1"/>
    <xf numFmtId="14" fontId="28" fillId="0" borderId="36" xfId="0" applyNumberFormat="1" applyFont="1" applyBorder="1"/>
    <xf numFmtId="14" fontId="28" fillId="0" borderId="37" xfId="0" applyNumberFormat="1" applyFont="1" applyBorder="1"/>
    <xf numFmtId="0" fontId="28" fillId="9" borderId="35" xfId="0" applyFont="1" applyFill="1" applyBorder="1"/>
    <xf numFmtId="0" fontId="28" fillId="9" borderId="0" xfId="0" applyFont="1" applyFill="1"/>
    <xf numFmtId="0" fontId="28" fillId="9" borderId="36" xfId="0" applyFont="1" applyFill="1" applyBorder="1"/>
    <xf numFmtId="14" fontId="28" fillId="0" borderId="39" xfId="0" applyNumberFormat="1" applyFont="1" applyBorder="1"/>
    <xf numFmtId="14" fontId="28" fillId="0" borderId="40" xfId="0" applyNumberFormat="1" applyFont="1" applyBorder="1"/>
    <xf numFmtId="0" fontId="21" fillId="10" borderId="0" xfId="0" quotePrefix="1" applyFont="1" applyFill="1" applyAlignment="1">
      <alignment horizontal="left"/>
    </xf>
    <xf numFmtId="0" fontId="21" fillId="10" borderId="0" xfId="0" applyFont="1" applyFill="1"/>
    <xf numFmtId="0" fontId="21" fillId="12" borderId="0" xfId="0" applyFont="1" applyFill="1"/>
    <xf numFmtId="0" fontId="21" fillId="12" borderId="0" xfId="0" quotePrefix="1" applyFont="1" applyFill="1" applyAlignment="1">
      <alignment horizontal="left"/>
    </xf>
    <xf numFmtId="174" fontId="0" fillId="0" borderId="0" xfId="0" applyNumberFormat="1"/>
    <xf numFmtId="174" fontId="10" fillId="0" borderId="0" xfId="40" applyNumberFormat="1">
      <alignment horizontal="left" indent="1"/>
    </xf>
    <xf numFmtId="0" fontId="27" fillId="0" borderId="42" xfId="0" applyFont="1" applyBorder="1"/>
    <xf numFmtId="0" fontId="40" fillId="13" borderId="41" xfId="0" applyFont="1" applyFill="1" applyBorder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9" fontId="0" fillId="0" borderId="0" xfId="45" applyFont="1"/>
    <xf numFmtId="0" fontId="12" fillId="6" borderId="0" xfId="3" applyAlignment="1">
      <alignment wrapText="1"/>
    </xf>
    <xf numFmtId="0" fontId="41" fillId="0" borderId="0" xfId="0" applyFont="1"/>
    <xf numFmtId="0" fontId="41" fillId="11" borderId="0" xfId="0" applyFont="1" applyFill="1"/>
    <xf numFmtId="0" fontId="27" fillId="0" borderId="43" xfId="0" applyFont="1" applyBorder="1"/>
    <xf numFmtId="4" fontId="23" fillId="0" borderId="44" xfId="15" applyFont="1" applyFill="1" applyBorder="1">
      <alignment horizontal="right"/>
      <protection locked="0"/>
    </xf>
    <xf numFmtId="2" fontId="1" fillId="0" borderId="0" xfId="42" applyNumberForma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9" fontId="2" fillId="0" borderId="0" xfId="45" applyFont="1" applyFill="1" applyBorder="1" applyAlignment="1" applyProtection="1">
      <alignment horizontal="right"/>
      <protection locked="0"/>
    </xf>
    <xf numFmtId="9" fontId="7" fillId="0" borderId="0" xfId="45" applyFont="1" applyAlignment="1">
      <alignment horizontal="center" vertical="center" wrapText="1"/>
    </xf>
    <xf numFmtId="171" fontId="2" fillId="0" borderId="1" xfId="45" applyNumberFormat="1" applyFont="1" applyFill="1" applyBorder="1" applyAlignment="1" applyProtection="1">
      <alignment horizontal="right"/>
      <protection locked="0"/>
    </xf>
    <xf numFmtId="0" fontId="43" fillId="0" borderId="0" xfId="27" applyFont="1" applyAlignment="1">
      <alignment horizontal="left" vertical="center"/>
      <protection locked="0"/>
    </xf>
    <xf numFmtId="0" fontId="10" fillId="0" borderId="0" xfId="40" applyBorder="1" applyAlignment="1">
      <alignment horizontal="center"/>
    </xf>
    <xf numFmtId="169" fontId="2" fillId="11" borderId="0" xfId="23" applyFill="1" applyBorder="1">
      <alignment horizontal="right"/>
      <protection locked="0"/>
    </xf>
    <xf numFmtId="0" fontId="0" fillId="0" borderId="45" xfId="0" applyBorder="1"/>
    <xf numFmtId="169" fontId="2" fillId="3" borderId="46" xfId="23" applyBorder="1">
      <alignment horizontal="right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27" applyBorder="1" applyAlignment="1">
      <alignment horizontal="left" vertical="center" indent="2"/>
      <protection locked="0"/>
    </xf>
    <xf numFmtId="0" fontId="10" fillId="0" borderId="1" xfId="40" applyBorder="1" applyAlignment="1">
      <alignment horizontal="center"/>
    </xf>
    <xf numFmtId="0" fontId="10" fillId="0" borderId="47" xfId="40" applyBorder="1" applyAlignment="1">
      <alignment horizontal="center"/>
    </xf>
    <xf numFmtId="9" fontId="2" fillId="0" borderId="1" xfId="45" applyFont="1" applyFill="1" applyBorder="1" applyAlignment="1" applyProtection="1">
      <alignment horizontal="right"/>
      <protection locked="0"/>
    </xf>
    <xf numFmtId="9" fontId="44" fillId="0" borderId="0" xfId="0" applyNumberFormat="1" applyFont="1"/>
    <xf numFmtId="169" fontId="2" fillId="0" borderId="1" xfId="23" applyFill="1" applyProtection="1">
      <alignment horizontal="right"/>
    </xf>
    <xf numFmtId="169" fontId="2" fillId="11" borderId="1" xfId="23" applyFill="1" applyProtection="1">
      <alignment horizontal="right"/>
    </xf>
    <xf numFmtId="9" fontId="7" fillId="0" borderId="0" xfId="27" applyNumberFormat="1" applyAlignment="1">
      <alignment horizontal="left" vertical="center" indent="2"/>
      <protection locked="0"/>
    </xf>
    <xf numFmtId="171" fontId="23" fillId="10" borderId="1" xfId="23" applyNumberFormat="1" applyFont="1" applyFill="1">
      <alignment horizontal="right"/>
      <protection locked="0"/>
    </xf>
    <xf numFmtId="171" fontId="0" fillId="0" borderId="0" xfId="0" applyNumberFormat="1"/>
    <xf numFmtId="0" fontId="0" fillId="8" borderId="0" xfId="0" applyFill="1" applyAlignment="1">
      <alignment horizontal="left" vertical="center"/>
    </xf>
    <xf numFmtId="0" fontId="45" fillId="8" borderId="0" xfId="4" applyFont="1" applyFill="1" applyBorder="1" applyAlignment="1">
      <alignment horizontal="centerContinuous"/>
    </xf>
    <xf numFmtId="0" fontId="46" fillId="8" borderId="0" xfId="0" applyFont="1" applyFill="1" applyAlignment="1">
      <alignment horizontal="centerContinuous" vertical="center"/>
    </xf>
    <xf numFmtId="0" fontId="4" fillId="0" borderId="0" xfId="4" applyFont="1" applyBorder="1" applyAlignment="1">
      <alignment horizontal="centerContinuous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8" borderId="0" xfId="0" applyFill="1" applyAlignment="1">
      <alignment horizontal="left" vertical="center" wrapText="1"/>
    </xf>
    <xf numFmtId="0" fontId="8" fillId="8" borderId="0" xfId="0" applyFont="1" applyFill="1" applyAlignment="1">
      <alignment wrapText="1"/>
    </xf>
    <xf numFmtId="169" fontId="47" fillId="0" borderId="1" xfId="26" applyFont="1">
      <alignment horizontal="right"/>
      <protection locked="0"/>
    </xf>
    <xf numFmtId="175" fontId="21" fillId="0" borderId="1" xfId="26" applyNumberFormat="1" applyFont="1">
      <alignment horizontal="right"/>
      <protection locked="0"/>
    </xf>
    <xf numFmtId="172" fontId="21" fillId="0" borderId="1" xfId="26" applyNumberFormat="1" applyFont="1">
      <alignment horizontal="right"/>
      <protection locked="0"/>
    </xf>
    <xf numFmtId="172" fontId="21" fillId="0" borderId="1" xfId="19" applyNumberFormat="1" applyFont="1">
      <alignment horizontal="right"/>
      <protection locked="0"/>
    </xf>
    <xf numFmtId="172" fontId="21" fillId="0" borderId="18" xfId="26" applyNumberFormat="1" applyFont="1" applyBorder="1">
      <alignment horizontal="right"/>
      <protection locked="0"/>
    </xf>
    <xf numFmtId="172" fontId="21" fillId="0" borderId="12" xfId="26" applyNumberFormat="1" applyFont="1" applyBorder="1">
      <alignment horizontal="right"/>
      <protection locked="0"/>
    </xf>
    <xf numFmtId="0" fontId="0" fillId="0" borderId="0" xfId="0" applyAlignment="1">
      <alignment horizontal="left" vertical="center" wrapText="1"/>
    </xf>
    <xf numFmtId="0" fontId="41" fillId="11" borderId="0" xfId="0" applyFont="1" applyFill="1" applyAlignment="1">
      <alignment horizontal="centerContinuous" vertical="center"/>
    </xf>
    <xf numFmtId="0" fontId="7" fillId="0" borderId="0" xfId="0" quotePrefix="1" applyFont="1" applyAlignment="1">
      <alignment vertical="center" wrapText="1"/>
    </xf>
    <xf numFmtId="0" fontId="41" fillId="0" borderId="0" xfId="0" applyFont="1" applyAlignment="1">
      <alignment vertical="center"/>
    </xf>
    <xf numFmtId="169" fontId="2" fillId="11" borderId="50" xfId="23" applyFill="1" applyBorder="1" applyAlignment="1">
      <alignment horizontal="right" vertical="center"/>
      <protection locked="0"/>
    </xf>
    <xf numFmtId="0" fontId="48" fillId="0" borderId="0" xfId="0" applyFont="1" applyAlignment="1">
      <alignment vertical="center"/>
    </xf>
    <xf numFmtId="0" fontId="7" fillId="0" borderId="0" xfId="0" applyFont="1" applyAlignment="1">
      <alignment horizontal="right" vertical="center" wrapText="1"/>
    </xf>
    <xf numFmtId="0" fontId="43" fillId="0" borderId="7" xfId="27" applyFont="1" applyBorder="1" applyAlignment="1">
      <alignment horizontal="left" vertical="center"/>
      <protection locked="0"/>
    </xf>
    <xf numFmtId="0" fontId="43" fillId="0" borderId="8" xfId="27" applyFont="1" applyBorder="1" applyAlignment="1">
      <alignment horizontal="left" vertical="center"/>
      <protection locked="0"/>
    </xf>
    <xf numFmtId="0" fontId="43" fillId="0" borderId="9" xfId="27" applyFont="1" applyBorder="1" applyAlignment="1">
      <alignment horizontal="left" vertical="center"/>
      <protection locked="0"/>
    </xf>
    <xf numFmtId="0" fontId="2" fillId="3" borderId="1" xfId="24">
      <protection locked="0"/>
    </xf>
    <xf numFmtId="0" fontId="0" fillId="0" borderId="0" xfId="0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69" fontId="2" fillId="3" borderId="49" xfId="23" applyBorder="1" applyAlignment="1">
      <alignment horizontal="left" vertical="center"/>
      <protection locked="0"/>
    </xf>
    <xf numFmtId="169" fontId="2" fillId="3" borderId="46" xfId="23" applyBorder="1" applyAlignment="1">
      <alignment horizontal="left" vertical="center"/>
      <protection locked="0"/>
    </xf>
    <xf numFmtId="0" fontId="7" fillId="0" borderId="0" xfId="0" quotePrefix="1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2" fillId="9" borderId="0" xfId="0" applyFont="1" applyFill="1" applyAlignment="1">
      <alignment horizontal="center"/>
    </xf>
    <xf numFmtId="0" fontId="42" fillId="14" borderId="0" xfId="0" applyFont="1" applyFill="1" applyAlignment="1">
      <alignment horizontal="center"/>
    </xf>
    <xf numFmtId="0" fontId="31" fillId="0" borderId="35" xfId="0" quotePrefix="1" applyFont="1" applyBorder="1" applyAlignment="1">
      <alignment horizontal="center" vertical="center" textRotation="90"/>
    </xf>
    <xf numFmtId="0" fontId="31" fillId="0" borderId="35" xfId="0" applyFont="1" applyBorder="1" applyAlignment="1">
      <alignment horizontal="center" vertical="center" textRotation="90"/>
    </xf>
    <xf numFmtId="0" fontId="31" fillId="0" borderId="38" xfId="0" applyFont="1" applyBorder="1" applyAlignment="1">
      <alignment horizontal="center" vertical="center" textRotation="90"/>
    </xf>
    <xf numFmtId="0" fontId="31" fillId="0" borderId="38" xfId="0" quotePrefix="1" applyFont="1" applyBorder="1" applyAlignment="1">
      <alignment horizontal="center" vertical="center" textRotation="90"/>
    </xf>
    <xf numFmtId="0" fontId="31" fillId="0" borderId="48" xfId="0" quotePrefix="1" applyFont="1" applyBorder="1" applyAlignment="1">
      <alignment horizontal="center" vertical="center" textRotation="90"/>
    </xf>
  </cellXfs>
  <cellStyles count="46">
    <cellStyle name="CA Calc %" xfId="5" xr:uid="{00000000-0005-0000-0000-000000000000}"/>
    <cellStyle name="CA Calc 0.0" xfId="6" xr:uid="{00000000-0005-0000-0000-000001000000}"/>
    <cellStyle name="CA Calc 0.00" xfId="7" xr:uid="{00000000-0005-0000-0000-000002000000}"/>
    <cellStyle name="CA Calc 0.0000" xfId="8" xr:uid="{00000000-0005-0000-0000-000003000000}"/>
    <cellStyle name="CA Calc Num" xfId="9" xr:uid="{00000000-0005-0000-0000-000004000000}"/>
    <cellStyle name="CA Comments" xfId="10" xr:uid="{00000000-0005-0000-0000-000005000000}"/>
    <cellStyle name="CA Currency Num" xfId="42" xr:uid="{00000000-0005-0000-0000-000006000000}"/>
    <cellStyle name="CA Date" xfId="11" xr:uid="{00000000-0005-0000-0000-000007000000}"/>
    <cellStyle name="CA Head 3 Date" xfId="12" xr:uid="{00000000-0005-0000-0000-000008000000}"/>
    <cellStyle name="CA Heading 5" xfId="13" xr:uid="{00000000-0005-0000-0000-000009000000}"/>
    <cellStyle name="CA Inp %" xfId="14" xr:uid="{00000000-0005-0000-0000-00000A000000}"/>
    <cellStyle name="CA Inp 0.00" xfId="15" xr:uid="{00000000-0005-0000-0000-00000B000000}"/>
    <cellStyle name="CA Inp 0.0000" xfId="16" xr:uid="{00000000-0005-0000-0000-00000C000000}"/>
    <cellStyle name="CA Inp 0.0000%" xfId="17" xr:uid="{00000000-0005-0000-0000-00000D000000}"/>
    <cellStyle name="CA Inp Calc %" xfId="18" xr:uid="{00000000-0005-0000-0000-00000E000000}"/>
    <cellStyle name="CA Inp Calc 0.00" xfId="19" xr:uid="{00000000-0005-0000-0000-00000F000000}"/>
    <cellStyle name="CA Inp Calc 0.0000" xfId="20" xr:uid="{00000000-0005-0000-0000-000010000000}"/>
    <cellStyle name="CA Inp Calc Num" xfId="21" xr:uid="{00000000-0005-0000-0000-000011000000}"/>
    <cellStyle name="CA Inp Date" xfId="22" xr:uid="{00000000-0005-0000-0000-000012000000}"/>
    <cellStyle name="CA Inp Num" xfId="23" xr:uid="{00000000-0005-0000-0000-000013000000}"/>
    <cellStyle name="CA Inp Text" xfId="24" xr:uid="{00000000-0005-0000-0000-000014000000}"/>
    <cellStyle name="CA Macro 0.00" xfId="25" xr:uid="{00000000-0005-0000-0000-000015000000}"/>
    <cellStyle name="CA Macro Number" xfId="26" xr:uid="{00000000-0005-0000-0000-000016000000}"/>
    <cellStyle name="CA Notes" xfId="27" xr:uid="{00000000-0005-0000-0000-000017000000}"/>
    <cellStyle name="CA Total 1 %" xfId="28" xr:uid="{00000000-0005-0000-0000-000018000000}"/>
    <cellStyle name="CA Total 1 0.00" xfId="29" xr:uid="{00000000-0005-0000-0000-000019000000}"/>
    <cellStyle name="CA Total 1 Curr" xfId="44" xr:uid="{00000000-0005-0000-0000-00001A000000}"/>
    <cellStyle name="CA Total 1 Descr" xfId="30" xr:uid="{00000000-0005-0000-0000-00001B000000}"/>
    <cellStyle name="CA Total 1 Num" xfId="31" xr:uid="{00000000-0005-0000-0000-00001C000000}"/>
    <cellStyle name="CA Total 2 %" xfId="32" xr:uid="{00000000-0005-0000-0000-00001D000000}"/>
    <cellStyle name="CA Total 2 0.00" xfId="33" xr:uid="{00000000-0005-0000-0000-00001E000000}"/>
    <cellStyle name="CA Total 2 Currency" xfId="43" xr:uid="{00000000-0005-0000-0000-00001F000000}"/>
    <cellStyle name="CA Total 2 Descr" xfId="34" xr:uid="{00000000-0005-0000-0000-000020000000}"/>
    <cellStyle name="CA Total 2 Num" xfId="35" xr:uid="{00000000-0005-0000-0000-000021000000}"/>
    <cellStyle name="CA Total 3 %" xfId="36" xr:uid="{00000000-0005-0000-0000-000022000000}"/>
    <cellStyle name="CA Total 3 0.00" xfId="37" xr:uid="{00000000-0005-0000-0000-000023000000}"/>
    <cellStyle name="CA Total 3 Descr" xfId="38" xr:uid="{00000000-0005-0000-0000-000024000000}"/>
    <cellStyle name="CA Total 3 Num" xfId="39" xr:uid="{00000000-0005-0000-0000-000025000000}"/>
    <cellStyle name="CA Units" xfId="40" xr:uid="{00000000-0005-0000-0000-000026000000}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 customBuiltin="1"/>
    <cellStyle name="Percent" xfId="45" builtinId="5"/>
    <cellStyle name="Unit" xfId="41" xr:uid="{00000000-0005-0000-0000-00002C000000}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family val="2"/>
        <scheme val="minor"/>
      </font>
      <border outline="0">
        <left style="thin">
          <color theme="3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72" formatCode="_(* #,##0.00_);_(* \(#,##0.00\);_(* &quot;-&quot;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family val="2"/>
        <scheme val="minor"/>
      </font>
      <border outline="0">
        <right style="thin">
          <color theme="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sz val="10"/>
      </font>
      <numFmt numFmtId="0" formatCode="General"/>
    </dxf>
    <dxf>
      <font>
        <sz val="10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family val="2"/>
        <scheme val="minor"/>
      </font>
      <numFmt numFmtId="169" formatCode="_(* #,##0_);_(* \(#,##0\);_(* &quot;-&quot;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sz val="10"/>
      </font>
      <numFmt numFmtId="0" formatCode="General"/>
    </dxf>
    <dxf>
      <font>
        <sz val="10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color theme="7" tint="0.39994506668294322"/>
      </font>
    </dxf>
    <dxf>
      <font>
        <color theme="7" tint="-0.24994659260841701"/>
      </font>
      <numFmt numFmtId="0" formatCode="General"/>
      <fill>
        <patternFill>
          <bgColor theme="2"/>
        </patternFill>
      </fill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</border>
    </dxf>
    <dxf>
      <numFmt numFmtId="176" formatCode=";;;"/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'Tariff Comparison'!$C$116</c:f>
          <c:strCache>
            <c:ptCount val="1"/>
            <c:pt idx="0">
              <c:v>Average Price</c:v>
            </c:pt>
          </c:strCache>
        </c:strRef>
      </c:tx>
      <c:overlay val="0"/>
      <c:txPr>
        <a:bodyPr/>
        <a:lstStyle/>
        <a:p>
          <a:pPr>
            <a:defRPr sz="12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089886050868393"/>
          <c:y val="0.16697144950869447"/>
          <c:w val="0.86910113949131607"/>
          <c:h val="0.364578663559980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'Tariff Comparison'!$D$12</c:f>
              <c:strCache>
                <c:ptCount val="1"/>
                <c:pt idx="0">
                  <c:v>2025/26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Comparison'!$C$25,'Tariff Comparison'!$H$8,'Tariff Comparison'!$L$8,'Tariff Comparison'!$P$8,'Tariff Comparison'!$T$8)</c15:sqref>
                  </c15:fullRef>
                </c:ext>
              </c:extLst>
              <c:f>('Tariff Comparison'!$C$25,'Tariff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Comparison'!$D$20,'Tariff Comparison'!$H$20,'Tariff Comparison'!$L$20,'Tariff Comparison'!$P$20,'Tariff Comparison'!$T$20)</c15:sqref>
                  </c15:fullRef>
                </c:ext>
              </c:extLst>
              <c:f>('Tariff Comparison'!$D$20,'Tariff Comparison'!$H$20,'Tariff Comparison'!$L$20,'Tariff Comparison'!$P$20)</c:f>
              <c:numCache>
                <c:formatCode>_ * #\ ##0.00_ ;_ * \-#\ ##0.00_ ;_ * "-"??_ ;_ @_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69-451A-841B-1F23E40045EE}"/>
            </c:ext>
          </c:extLst>
        </c:ser>
        <c:ser>
          <c:idx val="1"/>
          <c:order val="1"/>
          <c:tx>
            <c:strRef>
              <c:f>'Tariff Comparison'!$E$12</c:f>
              <c:strCache>
                <c:ptCount val="1"/>
                <c:pt idx="0">
                  <c:v>2026/27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Comparison'!$C$25,'Tariff Comparison'!$H$8,'Tariff Comparison'!$L$8,'Tariff Comparison'!$P$8,'Tariff Comparison'!$T$8)</c15:sqref>
                  </c15:fullRef>
                </c:ext>
              </c:extLst>
              <c:f>('Tariff Comparison'!$C$25,'Tariff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Comparison'!$E$20,'Tariff Comparison'!$I$20,'Tariff Comparison'!$M$20,'Tariff Comparison'!$Q$20,'Tariff Comparison'!$U$20)</c15:sqref>
                  </c15:fullRef>
                </c:ext>
              </c:extLst>
              <c:f>('Tariff Comparison'!$E$20,'Tariff Comparison'!$I$20,'Tariff Comparison'!$M$20,'Tariff Comparison'!$Q$20)</c:f>
              <c:numCache>
                <c:formatCode>_ * #\ ##0.00_ ;_ * \-#\ ##0.00_ ;_ * "-"??_ ;_ @_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69-451A-841B-1F23E40045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3"/>
        <c:axId val="254550784"/>
        <c:axId val="254553088"/>
      </c:barChart>
      <c:catAx>
        <c:axId val="254550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254553088"/>
        <c:crosses val="autoZero"/>
        <c:auto val="1"/>
        <c:lblAlgn val="ctr"/>
        <c:lblOffset val="100"/>
        <c:noMultiLvlLbl val="0"/>
      </c:catAx>
      <c:valAx>
        <c:axId val="2545530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 /kWh</a:t>
                </a:r>
              </a:p>
            </c:rich>
          </c:tx>
          <c:layout>
            <c:manualLayout>
              <c:xMode val="edge"/>
              <c:yMode val="edge"/>
              <c:x val="3.552397868561279E-3"/>
              <c:y val="0.22911022503435613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5455078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9274143666145525"/>
          <c:y val="0.8791450750616896"/>
          <c:w val="0.3905160313110641"/>
          <c:h val="0.11162292213473315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noFill/>
    <a:ln w="12700" cap="rnd"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'Tariff Comparison'!$C$115</c:f>
          <c:strCache>
            <c:ptCount val="1"/>
            <c:pt idx="0">
              <c:v>Rates Comparison</c:v>
            </c:pt>
          </c:strCache>
        </c:strRef>
      </c:tx>
      <c:overlay val="0"/>
      <c:txPr>
        <a:bodyPr/>
        <a:lstStyle/>
        <a:p>
          <a:pPr>
            <a:defRPr sz="12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303243862472989"/>
          <c:y val="0.14292338755282541"/>
          <c:w val="0.83336900566987138"/>
          <c:h val="0.5867536696801788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'Tariff Comparison'!$C$14</c:f>
              <c:strCache>
                <c:ptCount val="1"/>
                <c:pt idx="0">
                  <c:v>Network Charges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Comparison'!$D$8,'Tariff Comparison'!$H$8,'Tariff Comparison'!$L$8,'Tariff Comparison'!$P$8,'Tariff Comparison'!$T$8)</c15:sqref>
                  </c15:fullRef>
                </c:ext>
              </c:extLst>
              <c:f>('Tariff Comparison'!$D$8,'Tariff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Comparison'!$E$14,'Tariff Comparison'!$I$14,'Tariff Comparison'!$M$14,'Tariff Comparison'!$Q$14,'Tariff Comparison'!$U$14)</c15:sqref>
                  </c15:fullRef>
                </c:ext>
              </c:extLst>
              <c:f>('Tariff Comparison'!$E$14,'Tariff Comparison'!$I$14,'Tariff Comparison'!$M$14,'Tariff Comparison'!$Q$14)</c:f>
              <c:numCache>
                <c:formatCode>_ "R"\ * #\ ##0_ ;_ "R"\ * \-#\ ##0_ ;_ "R"\ * "-"_ ;_ @_ </c:formatCode>
                <c:ptCount val="4"/>
                <c:pt idx="0">
                  <c:v>672.81666666666672</c:v>
                </c:pt>
                <c:pt idx="1">
                  <c:v>672.81666666666672</c:v>
                </c:pt>
                <c:pt idx="2">
                  <c:v>276.18333333333334</c:v>
                </c:pt>
                <c:pt idx="3">
                  <c:v>672.81666666666672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87-49C0-BEBE-6F846C597E12}"/>
            </c:ext>
          </c:extLst>
        </c:ser>
        <c:ser>
          <c:idx val="1"/>
          <c:order val="1"/>
          <c:tx>
            <c:strRef>
              <c:f>'Tariff Comparison'!$C$16</c:f>
              <c:strCache>
                <c:ptCount val="1"/>
                <c:pt idx="0">
                  <c:v>Other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Comparison'!$D$8,'Tariff Comparison'!$H$8,'Tariff Comparison'!$L$8,'Tariff Comparison'!$P$8,'Tariff Comparison'!$T$8)</c15:sqref>
                  </c15:fullRef>
                </c:ext>
              </c:extLst>
              <c:f>('Tariff Comparison'!$D$8,'Tariff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Comparison'!$E$16,'Tariff Comparison'!$I$16,'Tariff Comparison'!$M$16,'Tariff Comparison'!$Q$16,'Tariff Comparison'!$U$16)</c15:sqref>
                  </c15:fullRef>
                </c:ext>
              </c:extLst>
              <c:f>('Tariff Comparison'!$E$16,'Tariff Comparison'!$I$16,'Tariff Comparison'!$M$16,'Tariff Comparison'!$Q$16)</c:f>
              <c:numCache>
                <c:formatCode>_ "R"\ * #\ ##0_ ;_ "R"\ * \-#\ ##0_ ;_ "R"\ * "-"_ ;_ @_ </c:formatCode>
                <c:ptCount val="4"/>
                <c:pt idx="0">
                  <c:v>486.36250000000001</c:v>
                </c:pt>
                <c:pt idx="1">
                  <c:v>486.36250000000001</c:v>
                </c:pt>
                <c:pt idx="2">
                  <c:v>174.59166666666667</c:v>
                </c:pt>
                <c:pt idx="3">
                  <c:v>486.36250000000001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87-49C0-BEBE-6F846C597E12}"/>
            </c:ext>
          </c:extLst>
        </c:ser>
        <c:ser>
          <c:idx val="2"/>
          <c:order val="2"/>
          <c:tx>
            <c:strRef>
              <c:f>'Tariff Comparison'!$C$15</c:f>
              <c:strCache>
                <c:ptCount val="1"/>
                <c:pt idx="0">
                  <c:v>Energy Charges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Comparison'!$D$8,'Tariff Comparison'!$H$8,'Tariff Comparison'!$L$8,'Tariff Comparison'!$P$8,'Tariff Comparison'!$T$8)</c15:sqref>
                  </c15:fullRef>
                </c:ext>
              </c:extLst>
              <c:f>('Tariff Comparison'!$D$8,'Tariff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Comparison'!$E$15,'Tariff Comparison'!$I$15,'Tariff Comparison'!$M$15,'Tariff Comparison'!$Q$15,'Tariff Comparison'!$U$15)</c15:sqref>
                  </c15:fullRef>
                </c:ext>
              </c:extLst>
              <c:f>('Tariff Comparison'!$E$15,'Tariff Comparison'!$I$15,'Tariff Comparison'!$M$15,'Tariff Comparison'!$Q$15)</c:f>
              <c:numCache>
                <c:formatCode>_ "R"\ * #\ ##0_ ;_ "R"\ * \-#\ ##0_ ;_ "R"\ * "-"_ ;_ @_ </c:formatCode>
                <c:ptCount val="4"/>
                <c:pt idx="0">
                  <c:v>91.25</c:v>
                </c:pt>
                <c:pt idx="1">
                  <c:v>91.25</c:v>
                </c:pt>
                <c:pt idx="2">
                  <c:v>21.595833333333331</c:v>
                </c:pt>
                <c:pt idx="3">
                  <c:v>91.25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87-49C0-BEBE-6F846C597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3"/>
        <c:overlap val="100"/>
        <c:serLines>
          <c:spPr>
            <a:ln>
              <a:prstDash val="dash"/>
            </a:ln>
          </c:spPr>
        </c:serLines>
        <c:axId val="486014336"/>
        <c:axId val="521945856"/>
      </c:barChart>
      <c:catAx>
        <c:axId val="486014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521945856"/>
        <c:crosses val="autoZero"/>
        <c:auto val="1"/>
        <c:lblAlgn val="ctr"/>
        <c:lblOffset val="100"/>
        <c:noMultiLvlLbl val="0"/>
      </c:catAx>
      <c:valAx>
        <c:axId val="521945856"/>
        <c:scaling>
          <c:orientation val="minMax"/>
        </c:scaling>
        <c:delete val="0"/>
        <c:axPos val="l"/>
        <c:majorGridlines/>
        <c:numFmt formatCode="_ &quot;R&quot;\ * #\ ##0_ ;_ &quot;R&quot;\ * \-#\ ##0_ ;_ &quot;R&quot;\ * &quot;-&quot;_ ;_ @_ 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486014336"/>
        <c:crosses val="autoZero"/>
        <c:crossBetween val="between"/>
        <c:dispUnits>
          <c:builtInUnit val="thousands"/>
          <c:dispUnitsLbl/>
        </c:dispUnits>
      </c:valAx>
    </c:plotArea>
    <c:legend>
      <c:legendPos val="b"/>
      <c:layout>
        <c:manualLayout>
          <c:xMode val="edge"/>
          <c:yMode val="edge"/>
          <c:x val="0.23106732803773977"/>
          <c:y val="0.88531787693205022"/>
          <c:w val="0.66651728005364963"/>
          <c:h val="0.11162292213473315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 w="12700" cap="rnd"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'Tariff Comparison'!$C$116</c:f>
          <c:strCache>
            <c:ptCount val="1"/>
            <c:pt idx="0">
              <c:v>Average Price</c:v>
            </c:pt>
          </c:strCache>
        </c:strRef>
      </c:tx>
      <c:overlay val="0"/>
      <c:txPr>
        <a:bodyPr/>
        <a:lstStyle/>
        <a:p>
          <a:pPr>
            <a:defRPr sz="12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04370104208368"/>
          <c:y val="0.12620249698059155"/>
          <c:w val="0.81292890875713664"/>
          <c:h val="0.5867536696801788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'Tariff Comparison'!$D$12</c:f>
              <c:strCache>
                <c:ptCount val="1"/>
                <c:pt idx="0">
                  <c:v>2025/26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Comparison'!$C$25,'Tariff Comparison'!$H$8,'Tariff Comparison'!$L$8,'Tariff Comparison'!$P$8,'Tariff Comparison'!$T$8)</c15:sqref>
                  </c15:fullRef>
                </c:ext>
              </c:extLst>
              <c:f>('Tariff Comparison'!$C$25,'Tariff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Comparison'!$D$20,'Tariff Comparison'!$H$20,'Tariff Comparison'!$L$20,'Tariff Comparison'!$P$20,'Tariff Comparison'!$T$20)</c15:sqref>
                  </c15:fullRef>
                </c:ext>
              </c:extLst>
              <c:f>('Tariff Comparison'!$D$20,'Tariff Comparison'!$H$20,'Tariff Comparison'!$L$20,'Tariff Comparison'!$P$20)</c:f>
              <c:numCache>
                <c:formatCode>_ * #\ ##0.00_ ;_ * \-#\ ##0.00_ ;_ * "-"??_ ;_ @_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83-47A4-A891-C697D5172C8F}"/>
            </c:ext>
          </c:extLst>
        </c:ser>
        <c:ser>
          <c:idx val="1"/>
          <c:order val="1"/>
          <c:tx>
            <c:strRef>
              <c:f>'Tariff Comparison'!$E$12</c:f>
              <c:strCache>
                <c:ptCount val="1"/>
                <c:pt idx="0">
                  <c:v>2026/27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Comparison'!$C$25,'Tariff Comparison'!$H$8,'Tariff Comparison'!$L$8,'Tariff Comparison'!$P$8,'Tariff Comparison'!$T$8)</c15:sqref>
                  </c15:fullRef>
                </c:ext>
              </c:extLst>
              <c:f>('Tariff Comparison'!$C$25,'Tariff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Comparison'!$E$20,'Tariff Comparison'!$I$20,'Tariff Comparison'!$M$20,'Tariff Comparison'!$Q$20,'Tariff Comparison'!$U$20)</c15:sqref>
                  </c15:fullRef>
                </c:ext>
              </c:extLst>
              <c:f>('Tariff Comparison'!$E$20,'Tariff Comparison'!$I$20,'Tariff Comparison'!$M$20,'Tariff Comparison'!$Q$20)</c:f>
              <c:numCache>
                <c:formatCode>_ * #\ ##0.00_ ;_ * \-#\ ##0.00_ ;_ * "-"??_ ;_ @_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83-47A4-A891-C697D5172C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3"/>
        <c:axId val="254550784"/>
        <c:axId val="254553088"/>
      </c:barChart>
      <c:catAx>
        <c:axId val="254550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254553088"/>
        <c:crosses val="autoZero"/>
        <c:auto val="1"/>
        <c:lblAlgn val="ctr"/>
        <c:lblOffset val="100"/>
        <c:noMultiLvlLbl val="0"/>
      </c:catAx>
      <c:valAx>
        <c:axId val="2545530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 /kWh</a:t>
                </a:r>
              </a:p>
            </c:rich>
          </c:tx>
          <c:layout>
            <c:manualLayout>
              <c:xMode val="edge"/>
              <c:yMode val="edge"/>
              <c:x val="0"/>
              <c:y val="0.24421879827542622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5455078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9274143666145525"/>
          <c:y val="0.8791450750616896"/>
          <c:w val="0.3905160313110641"/>
          <c:h val="0.11162292213473315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noFill/>
    <a:ln w="12700" cap="rnd"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'Tariff Comparison'!$C$115</c:f>
          <c:strCache>
            <c:ptCount val="1"/>
            <c:pt idx="0">
              <c:v>Rates Comparison</c:v>
            </c:pt>
          </c:strCache>
        </c:strRef>
      </c:tx>
      <c:overlay val="0"/>
      <c:txPr>
        <a:bodyPr/>
        <a:lstStyle/>
        <a:p>
          <a:pPr>
            <a:defRPr sz="12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303243862472989"/>
          <c:y val="0.14292338755282541"/>
          <c:w val="0.83336900566987138"/>
          <c:h val="0.5867536696801788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'Tariff Comparison'!$C$14</c:f>
              <c:strCache>
                <c:ptCount val="1"/>
                <c:pt idx="0">
                  <c:v>Network Charges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Comparison'!$D$8,'Tariff Comparison'!$H$8,'Tariff Comparison'!$L$8,'Tariff Comparison'!$P$8,'Tariff Comparison'!$T$8)</c15:sqref>
                  </c15:fullRef>
                </c:ext>
              </c:extLst>
              <c:f>('Tariff Comparison'!$D$8,'Tariff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Comparison'!$E$14,'Tariff Comparison'!$I$14,'Tariff Comparison'!$M$14,'Tariff Comparison'!$Q$14,'Tariff Comparison'!$U$14)</c15:sqref>
                  </c15:fullRef>
                </c:ext>
              </c:extLst>
              <c:f>('Tariff Comparison'!$E$14,'Tariff Comparison'!$I$14,'Tariff Comparison'!$M$14,'Tariff Comparison'!$Q$14)</c:f>
              <c:numCache>
                <c:formatCode>_ "R"\ * #\ ##0_ ;_ "R"\ * \-#\ ##0_ ;_ "R"\ * "-"_ ;_ @_ </c:formatCode>
                <c:ptCount val="4"/>
                <c:pt idx="0">
                  <c:v>672.81666666666672</c:v>
                </c:pt>
                <c:pt idx="1">
                  <c:v>672.81666666666672</c:v>
                </c:pt>
                <c:pt idx="2">
                  <c:v>276.18333333333334</c:v>
                </c:pt>
                <c:pt idx="3">
                  <c:v>672.81666666666672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90-4B11-B707-5C5537D26B74}"/>
            </c:ext>
          </c:extLst>
        </c:ser>
        <c:ser>
          <c:idx val="1"/>
          <c:order val="1"/>
          <c:tx>
            <c:strRef>
              <c:f>'Tariff Comparison'!$C$16</c:f>
              <c:strCache>
                <c:ptCount val="1"/>
                <c:pt idx="0">
                  <c:v>Other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Comparison'!$D$8,'Tariff Comparison'!$H$8,'Tariff Comparison'!$L$8,'Tariff Comparison'!$P$8,'Tariff Comparison'!$T$8)</c15:sqref>
                  </c15:fullRef>
                </c:ext>
              </c:extLst>
              <c:f>('Tariff Comparison'!$D$8,'Tariff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Comparison'!$E$16,'Tariff Comparison'!$I$16,'Tariff Comparison'!$M$16,'Tariff Comparison'!$Q$16,'Tariff Comparison'!$U$16)</c15:sqref>
                  </c15:fullRef>
                </c:ext>
              </c:extLst>
              <c:f>('Tariff Comparison'!$E$16,'Tariff Comparison'!$I$16,'Tariff Comparison'!$M$16,'Tariff Comparison'!$Q$16)</c:f>
              <c:numCache>
                <c:formatCode>_ "R"\ * #\ ##0_ ;_ "R"\ * \-#\ ##0_ ;_ "R"\ * "-"_ ;_ @_ </c:formatCode>
                <c:ptCount val="4"/>
                <c:pt idx="0">
                  <c:v>486.36250000000001</c:v>
                </c:pt>
                <c:pt idx="1">
                  <c:v>486.36250000000001</c:v>
                </c:pt>
                <c:pt idx="2">
                  <c:v>174.59166666666667</c:v>
                </c:pt>
                <c:pt idx="3">
                  <c:v>486.36250000000001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90-4B11-B707-5C5537D26B74}"/>
            </c:ext>
          </c:extLst>
        </c:ser>
        <c:ser>
          <c:idx val="2"/>
          <c:order val="2"/>
          <c:tx>
            <c:strRef>
              <c:f>'Tariff Comparison'!$C$15</c:f>
              <c:strCache>
                <c:ptCount val="1"/>
                <c:pt idx="0">
                  <c:v>Energy Charges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Comparison'!$D$8,'Tariff Comparison'!$H$8,'Tariff Comparison'!$L$8,'Tariff Comparison'!$P$8,'Tariff Comparison'!$T$8)</c15:sqref>
                  </c15:fullRef>
                </c:ext>
              </c:extLst>
              <c:f>('Tariff Comparison'!$D$8,'Tariff Comparison'!$H$8,'Tariff Comparison'!$L$8,'Tariff Comparison'!$P$8)</c:f>
              <c:strCache>
                <c:ptCount val="4"/>
                <c:pt idx="0">
                  <c:v>Businessrate 1</c:v>
                </c:pt>
                <c:pt idx="1">
                  <c:v>Businessrate 1</c:v>
                </c:pt>
                <c:pt idx="2">
                  <c:v>Homepower 4</c:v>
                </c:pt>
                <c:pt idx="3">
                  <c:v>Businessrate 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Comparison'!$E$15,'Tariff Comparison'!$I$15,'Tariff Comparison'!$M$15,'Tariff Comparison'!$Q$15,'Tariff Comparison'!$U$15)</c15:sqref>
                  </c15:fullRef>
                </c:ext>
              </c:extLst>
              <c:f>('Tariff Comparison'!$E$15,'Tariff Comparison'!$I$15,'Tariff Comparison'!$M$15,'Tariff Comparison'!$Q$15)</c:f>
              <c:numCache>
                <c:formatCode>_ "R"\ * #\ ##0_ ;_ "R"\ * \-#\ ##0_ ;_ "R"\ * "-"_ ;_ @_ </c:formatCode>
                <c:ptCount val="4"/>
                <c:pt idx="0">
                  <c:v>91.25</c:v>
                </c:pt>
                <c:pt idx="1">
                  <c:v>91.25</c:v>
                </c:pt>
                <c:pt idx="2">
                  <c:v>21.595833333333331</c:v>
                </c:pt>
                <c:pt idx="3">
                  <c:v>91.25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90-4B11-B707-5C5537D26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3"/>
        <c:overlap val="100"/>
        <c:serLines>
          <c:spPr>
            <a:ln>
              <a:prstDash val="dash"/>
            </a:ln>
          </c:spPr>
        </c:serLines>
        <c:axId val="486014336"/>
        <c:axId val="521945856"/>
      </c:barChart>
      <c:catAx>
        <c:axId val="486014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521945856"/>
        <c:crosses val="autoZero"/>
        <c:auto val="1"/>
        <c:lblAlgn val="ctr"/>
        <c:lblOffset val="100"/>
        <c:noMultiLvlLbl val="0"/>
      </c:catAx>
      <c:valAx>
        <c:axId val="521945856"/>
        <c:scaling>
          <c:orientation val="minMax"/>
        </c:scaling>
        <c:delete val="0"/>
        <c:axPos val="l"/>
        <c:majorGridlines/>
        <c:numFmt formatCode="_ &quot;R&quot;\ * #\ ##0_ ;_ &quot;R&quot;\ * \-#\ ##0_ ;_ &quot;R&quot;\ * &quot;-&quot;_ ;_ @_ 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486014336"/>
        <c:crosses val="autoZero"/>
        <c:crossBetween val="between"/>
        <c:dispUnits>
          <c:builtInUnit val="thousands"/>
          <c:dispUnitsLbl/>
        </c:dispUnits>
      </c:valAx>
    </c:plotArea>
    <c:legend>
      <c:legendPos val="b"/>
      <c:layout>
        <c:manualLayout>
          <c:xMode val="edge"/>
          <c:yMode val="edge"/>
          <c:x val="0.23106732803773977"/>
          <c:y val="0.88531787693205022"/>
          <c:w val="0.66651728005364963"/>
          <c:h val="0.11162292213473315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 w="12700" cap="rnd"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26" fmlaLink="Dropdown_Tariff" fmlaRange="Lists!$B$57:$B$69" noThreeD="1" sel="1" val="0"/>
</file>

<file path=xl/ctrlProps/ctrlProp2.xml><?xml version="1.0" encoding="utf-8"?>
<formControlPr xmlns="http://schemas.microsoft.com/office/spreadsheetml/2009/9/main" objectType="Drop" dropStyle="combo" dx="26" fmlaLink="Dropdown_Category" fmlaRange="Tariff_Category_List" noThreeD="1" sel="1" val="0"/>
</file>

<file path=xl/ctrlProps/ctrlProp3.xml><?xml version="1.0" encoding="utf-8"?>
<formControlPr xmlns="http://schemas.microsoft.com/office/spreadsheetml/2009/9/main" objectType="Drop" dropStyle="combo" dx="26" fmlaLink="Dropdown_Supply" fmlaRange="Capacity_List" noThreeD="1" sel="1" val="0"/>
</file>

<file path=xl/ctrlProps/ctrlProp4.xml><?xml version="1.0" encoding="utf-8"?>
<formControlPr xmlns="http://schemas.microsoft.com/office/spreadsheetml/2009/9/main" objectType="Drop" dropStyle="combo" dx="26" fmlaLink="Dropdown_Compare_1" fmlaRange="Lists!$K$77:$K$88" noThreeD="1" sel="1" val="0"/>
</file>

<file path=xl/ctrlProps/ctrlProp5.xml><?xml version="1.0" encoding="utf-8"?>
<formControlPr xmlns="http://schemas.microsoft.com/office/spreadsheetml/2009/9/main" objectType="Drop" dropStyle="combo" dx="26" fmlaLink="Dropdown_Compare_2" fmlaRange="Lists!$K$77:$K$88" noThreeD="1" sel="3" val="0"/>
</file>

<file path=xl/ctrlProps/ctrlProp6.xml><?xml version="1.0" encoding="utf-8"?>
<formControlPr xmlns="http://schemas.microsoft.com/office/spreadsheetml/2009/9/main" objectType="Drop" dropStyle="combo" dx="26" fmlaLink="Dropdown_Compare_3" fmlaRange="Lists!$K$77:$K$88" noThreeD="1" sel="1" val="0"/>
</file>

<file path=xl/ctrlProps/ctrlProp7.xml><?xml version="1.0" encoding="utf-8"?>
<formControlPr xmlns="http://schemas.microsoft.com/office/spreadsheetml/2009/9/main" objectType="Drop" dropStyle="combo" dx="26" fmlaLink="Dropdown_Compare_1" fmlaRange="Lists!$K$77:$K$88" noThreeD="1" sel="1" val="0"/>
</file>

<file path=xl/ctrlProps/ctrlProp8.xml><?xml version="1.0" encoding="utf-8"?>
<formControlPr xmlns="http://schemas.microsoft.com/office/spreadsheetml/2009/9/main" objectType="Drop" dropStyle="combo" dx="26" fmlaLink="Dropdown_Compare_2" fmlaRange="Lists!$K$77:$K$88" noThreeD="1" sel="3" val="0"/>
</file>

<file path=xl/ctrlProps/ctrlProp9.xml><?xml version="1.0" encoding="utf-8"?>
<formControlPr xmlns="http://schemas.microsoft.com/office/spreadsheetml/2009/9/main" objectType="Drop" dropStyle="combo" dx="26" fmlaLink="Dropdown_Compare_3" fmlaRange="Lists!$K$77:$K$88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47625</xdr:rowOff>
    </xdr:from>
    <xdr:to>
      <xdr:col>3</xdr:col>
      <xdr:colOff>1013012</xdr:colOff>
      <xdr:row>1</xdr:row>
      <xdr:rowOff>386185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9525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18</xdr:row>
          <xdr:rowOff>7620</xdr:rowOff>
        </xdr:from>
        <xdr:to>
          <xdr:col>8</xdr:col>
          <xdr:colOff>0</xdr:colOff>
          <xdr:row>19</xdr:row>
          <xdr:rowOff>0</xdr:rowOff>
        </xdr:to>
        <xdr:sp macro="" textlink="">
          <xdr:nvSpPr>
            <xdr:cNvPr id="1028" name="dbxTariff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12</xdr:row>
          <xdr:rowOff>7620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1031" name="dbxCategory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16</xdr:row>
          <xdr:rowOff>7620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1036320</xdr:colOff>
      <xdr:row>33</xdr:row>
      <xdr:rowOff>205740</xdr:rowOff>
    </xdr:from>
    <xdr:to>
      <xdr:col>5</xdr:col>
      <xdr:colOff>60960</xdr:colOff>
      <xdr:row>35</xdr:row>
      <xdr:rowOff>68580</xdr:rowOff>
    </xdr:to>
    <xdr:sp macro="" textlink="">
      <xdr:nvSpPr>
        <xdr:cNvPr id="3" name="Arrow: Righ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93520" y="5105400"/>
          <a:ext cx="861060" cy="289560"/>
        </a:xfrm>
        <a:prstGeom prst="rightArrow">
          <a:avLst>
            <a:gd name="adj1" fmla="val 50000"/>
            <a:gd name="adj2" fmla="val 47872"/>
          </a:avLst>
        </a:prstGeom>
        <a:solidFill>
          <a:schemeClr val="bg1">
            <a:lumMod val="6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>
    <xdr:from>
      <xdr:col>9</xdr:col>
      <xdr:colOff>297180</xdr:colOff>
      <xdr:row>33</xdr:row>
      <xdr:rowOff>190500</xdr:rowOff>
    </xdr:from>
    <xdr:to>
      <xdr:col>14</xdr:col>
      <xdr:colOff>822960</xdr:colOff>
      <xdr:row>35</xdr:row>
      <xdr:rowOff>167640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95900" y="5090160"/>
          <a:ext cx="4754880" cy="40386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ZA" sz="900" b="1" i="0" u="none" strike="noStrike" kern="0" cap="none" spc="0" normalizeH="0" baseline="0" noProof="0">
              <a:ln>
                <a:noFill/>
              </a:ln>
              <a:solidFill>
                <a:sysClr val="window" lastClr="FFFFFF">
                  <a:lumMod val="65000"/>
                </a:sysClr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[IF </a:t>
          </a:r>
          <a:r>
            <a:rPr kumimoji="0" lang="en-ZA" sz="9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"Use customer 's own urban residential profile" </a:t>
          </a:r>
          <a:r>
            <a:rPr kumimoji="0" lang="en-ZA" sz="900" b="1" i="0" u="none" strike="noStrike" kern="0" cap="none" spc="0" normalizeH="0" baseline="0" noProof="0">
              <a:ln>
                <a:noFill/>
              </a:ln>
              <a:solidFill>
                <a:sysClr val="window" lastClr="FFFFFF">
                  <a:lumMod val="65000"/>
                </a:sysClr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IS SELECTED, ENTER PROFILE IN CELLS  G40, H40, I40, J40, K40 AND L40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ZA" sz="900" b="1" i="0" u="none" strike="noStrike" kern="0" cap="none" spc="0" normalizeH="0" baseline="0" noProof="0">
            <a:ln>
              <a:noFill/>
            </a:ln>
            <a:solidFill>
              <a:sysClr val="window" lastClr="FFFFFF">
                <a:lumMod val="65000"/>
              </a:sysClr>
            </a:solidFill>
            <a:effectLst/>
            <a:uLnTx/>
            <a:uFillTx/>
            <a:latin typeface="Gill Sans MT" panose="020B0502020104020203" pitchFamily="34" charset="0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2</xdr:col>
      <xdr:colOff>1127312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6</xdr:row>
      <xdr:rowOff>133350</xdr:rowOff>
    </xdr:from>
    <xdr:to>
      <xdr:col>9</xdr:col>
      <xdr:colOff>9525</xdr:colOff>
      <xdr:row>19</xdr:row>
      <xdr:rowOff>43815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154430"/>
          <a:ext cx="6989445" cy="2021205"/>
        </a:xfrm>
        <a:prstGeom prst="roundRect">
          <a:avLst>
            <a:gd name="adj" fmla="val 5473"/>
          </a:avLst>
        </a:prstGeom>
        <a:noFill/>
        <a:ln w="190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 editAs="oneCell">
    <xdr:from>
      <xdr:col>10</xdr:col>
      <xdr:colOff>0</xdr:colOff>
      <xdr:row>1</xdr:row>
      <xdr:rowOff>28575</xdr:rowOff>
    </xdr:from>
    <xdr:to>
      <xdr:col>11</xdr:col>
      <xdr:colOff>1127312</xdr:colOff>
      <xdr:row>1</xdr:row>
      <xdr:rowOff>367135</xdr:rowOff>
    </xdr:to>
    <xdr:pic>
      <xdr:nvPicPr>
        <xdr:cNvPr id="4" name="Picture 3" descr="logo smal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101600</xdr:colOff>
      <xdr:row>6</xdr:row>
      <xdr:rowOff>101600</xdr:rowOff>
    </xdr:from>
    <xdr:to>
      <xdr:col>17</xdr:col>
      <xdr:colOff>415924</xdr:colOff>
      <xdr:row>19</xdr:row>
      <xdr:rowOff>12065</xdr:rowOff>
    </xdr:to>
    <xdr:sp macro="" textlink="">
      <xdr:nvSpPr>
        <xdr:cNvPr id="6" name="Rounded Rectangle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7230533" y="1126067"/>
          <a:ext cx="6986058" cy="2018665"/>
        </a:xfrm>
        <a:prstGeom prst="roundRect">
          <a:avLst>
            <a:gd name="adj" fmla="val 5473"/>
          </a:avLst>
        </a:prstGeom>
        <a:noFill/>
        <a:ln w="190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2</xdr:col>
      <xdr:colOff>1089212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</xdr:colOff>
          <xdr:row>5</xdr:row>
          <xdr:rowOff>7620</xdr:rowOff>
        </xdr:from>
        <xdr:to>
          <xdr:col>9</xdr:col>
          <xdr:colOff>403860</xdr:colOff>
          <xdr:row>6</xdr:row>
          <xdr:rowOff>15240</xdr:rowOff>
        </xdr:to>
        <xdr:sp macro="" textlink="">
          <xdr:nvSpPr>
            <xdr:cNvPr id="27649" name="Drop Dow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2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</xdr:colOff>
          <xdr:row>5</xdr:row>
          <xdr:rowOff>7620</xdr:rowOff>
        </xdr:from>
        <xdr:to>
          <xdr:col>13</xdr:col>
          <xdr:colOff>579120</xdr:colOff>
          <xdr:row>6</xdr:row>
          <xdr:rowOff>0</xdr:rowOff>
        </xdr:to>
        <xdr:sp macro="" textlink="">
          <xdr:nvSpPr>
            <xdr:cNvPr id="27650" name="Drop Dow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2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</xdr:colOff>
          <xdr:row>5</xdr:row>
          <xdr:rowOff>7620</xdr:rowOff>
        </xdr:from>
        <xdr:to>
          <xdr:col>17</xdr:col>
          <xdr:colOff>251460</xdr:colOff>
          <xdr:row>6</xdr:row>
          <xdr:rowOff>7620</xdr:rowOff>
        </xdr:to>
        <xdr:sp macro="" textlink="">
          <xdr:nvSpPr>
            <xdr:cNvPr id="27651" name="Drop Down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2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237068</xdr:colOff>
      <xdr:row>20</xdr:row>
      <xdr:rowOff>59267</xdr:rowOff>
    </xdr:from>
    <xdr:to>
      <xdr:col>18</xdr:col>
      <xdr:colOff>220134</xdr:colOff>
      <xdr:row>35</xdr:row>
      <xdr:rowOff>59268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201930</xdr:colOff>
      <xdr:row>20</xdr:row>
      <xdr:rowOff>114300</xdr:rowOff>
    </xdr:from>
    <xdr:to>
      <xdr:col>12</xdr:col>
      <xdr:colOff>152400</xdr:colOff>
      <xdr:row>34</xdr:row>
      <xdr:rowOff>85725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</xdr:colOff>
          <xdr:row>38</xdr:row>
          <xdr:rowOff>7620</xdr:rowOff>
        </xdr:from>
        <xdr:to>
          <xdr:col>9</xdr:col>
          <xdr:colOff>60960</xdr:colOff>
          <xdr:row>39</xdr:row>
          <xdr:rowOff>60960</xdr:rowOff>
        </xdr:to>
        <xdr:sp macro="" textlink="">
          <xdr:nvSpPr>
            <xdr:cNvPr id="27652" name="Drop Down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2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</xdr:colOff>
          <xdr:row>38</xdr:row>
          <xdr:rowOff>7620</xdr:rowOff>
        </xdr:from>
        <xdr:to>
          <xdr:col>13</xdr:col>
          <xdr:colOff>579120</xdr:colOff>
          <xdr:row>39</xdr:row>
          <xdr:rowOff>60960</xdr:rowOff>
        </xdr:to>
        <xdr:sp macro="" textlink="">
          <xdr:nvSpPr>
            <xdr:cNvPr id="27653" name="Drop Down 5" hidden="1">
              <a:extLst>
                <a:ext uri="{63B3BB69-23CF-44E3-9099-C40C66FF867C}">
                  <a14:compatExt spid="_x0000_s27653"/>
                </a:ext>
                <a:ext uri="{FF2B5EF4-FFF2-40B4-BE49-F238E27FC236}">
                  <a16:creationId xmlns:a16="http://schemas.microsoft.com/office/drawing/2014/main" id="{00000000-0008-0000-0200-00000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</xdr:colOff>
          <xdr:row>38</xdr:row>
          <xdr:rowOff>7620</xdr:rowOff>
        </xdr:from>
        <xdr:to>
          <xdr:col>17</xdr:col>
          <xdr:colOff>152400</xdr:colOff>
          <xdr:row>39</xdr:row>
          <xdr:rowOff>60960</xdr:rowOff>
        </xdr:to>
        <xdr:sp macro="" textlink="">
          <xdr:nvSpPr>
            <xdr:cNvPr id="27654" name="Drop Down 6" hidden="1">
              <a:extLst>
                <a:ext uri="{63B3BB69-23CF-44E3-9099-C40C66FF867C}">
                  <a14:compatExt spid="_x0000_s27654"/>
                </a:ext>
                <a:ext uri="{FF2B5EF4-FFF2-40B4-BE49-F238E27FC236}">
                  <a16:creationId xmlns:a16="http://schemas.microsoft.com/office/drawing/2014/main" id="{00000000-0008-0000-0200-00000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220133</xdr:colOff>
      <xdr:row>54</xdr:row>
      <xdr:rowOff>7409</xdr:rowOff>
    </xdr:from>
    <xdr:to>
      <xdr:col>19</xdr:col>
      <xdr:colOff>0</xdr:colOff>
      <xdr:row>69</xdr:row>
      <xdr:rowOff>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201931</xdr:colOff>
      <xdr:row>53</xdr:row>
      <xdr:rowOff>114300</xdr:rowOff>
    </xdr:from>
    <xdr:to>
      <xdr:col>12</xdr:col>
      <xdr:colOff>237068</xdr:colOff>
      <xdr:row>67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1</xdr:row>
      <xdr:rowOff>47625</xdr:rowOff>
    </xdr:from>
    <xdr:ext cx="1289237" cy="338560"/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00025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1127312</xdr:colOff>
      <xdr:row>1</xdr:row>
      <xdr:rowOff>338560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7625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1127312</xdr:colOff>
      <xdr:row>1</xdr:row>
      <xdr:rowOff>338560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7625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1127312</xdr:colOff>
      <xdr:row>1</xdr:row>
      <xdr:rowOff>338560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720"/>
          <a:ext cx="1279712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2</xdr:col>
      <xdr:colOff>1289237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2</xdr:col>
      <xdr:colOff>1289237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1294280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1289237</xdr:colOff>
      <xdr:row>1</xdr:row>
      <xdr:rowOff>367135</xdr:rowOff>
    </xdr:to>
    <xdr:pic>
      <xdr:nvPicPr>
        <xdr:cNvPr id="3" name="Picture 2" descr="logo small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Rates_AllOther_New" displayName="Rates_AllOther_New" ref="C7:Z51" totalsRowShown="0" headerRowDxfId="54" dataDxfId="53" tableBorderDxfId="52" dataCellStyle="CA Inp Calc 0.00">
  <autoFilter ref="C7:Z51" xr:uid="{00000000-0009-0000-0100-000009000000}"/>
  <tableColumns count="24">
    <tableColumn id="1" xr3:uid="{00000000-0010-0000-0000-000001000000}" name="Tariff" dataDxfId="51"/>
    <tableColumn id="2" xr3:uid="{00000000-0010-0000-0000-000002000000}" name="Tariff Category" dataDxfId="50"/>
    <tableColumn id="3" xr3:uid="{00000000-0010-0000-0000-000003000000}" name="Type" dataDxfId="49"/>
    <tableColumn id="4" xr3:uid="{00000000-0010-0000-0000-000004000000}" name="Column1" dataDxfId="48"/>
    <tableColumn id="5" xr3:uid="{00000000-0010-0000-0000-000005000000}" name="Code" dataDxfId="47">
      <calculatedColumnFormula>C8&amp;"_"&amp;D8</calculatedColumnFormula>
    </tableColumn>
    <tableColumn id="15" xr3:uid="{00000000-0010-0000-0000-00000F000000}" name="Matrix Code" dataDxfId="46">
      <calculatedColumnFormula>INDEX(Matrix_Tariff_Map,MATCH(C8,Matrix_Model_Tariffs,0),2)&amp;IFERROR(INDEX(Matrix_Transmission_Map,MATCH(E8,Matrix_Model_Transmission,0),2),0)&amp;IFERROR(INDEX(Matrix_Voltage_Map,MATCH(F8,Matrix_Model_Voltage,0),2),1)&amp;INDEX(Matrix_Category_Map,MATCH(D8,Matrix_Model_Category,0),2)</calculatedColumnFormula>
    </tableColumn>
    <tableColumn id="18" xr3:uid="{29F6F7EB-DFFF-4192-B582-F9D8F346F08F}" name="High - Peak" dataDxfId="45"/>
    <tableColumn id="19" xr3:uid="{34FCC3BA-5F01-4D3C-BD3C-E91CD5D6D370}" name="High - Standard" dataDxfId="44"/>
    <tableColumn id="20" xr3:uid="{9356D25E-3B62-458E-9BC4-A98AA12503BB}" name="High-Off Peak" dataDxfId="43"/>
    <tableColumn id="14" xr3:uid="{F869BBAE-45DB-4855-B6E1-559A2D5684B3}" name="Low - Peak" dataDxfId="42"/>
    <tableColumn id="16" xr3:uid="{406D5288-618F-42E3-8B6F-BAC637D69B76}" name="Low - Standard" dataDxfId="41"/>
    <tableColumn id="17" xr3:uid="{A5EFAE0F-0534-42D3-ABCE-C1E920567F77}" name="Low-Off Peak" dataDxfId="40"/>
    <tableColumn id="12" xr3:uid="{00000000-0010-0000-0000-00000C000000}" name="Energy charge Block 1 [c/kWh]" dataDxfId="39" dataCellStyle="CA Macro Number"/>
    <tableColumn id="10" xr3:uid="{00000000-0010-0000-0000-00000A000000}" name="Energy charge Block 2 [c/kWh]" dataDxfId="38" dataCellStyle="CA Macro Number"/>
    <tableColumn id="6" xr3:uid="{00000000-0010-0000-0000-000006000000}" name="Energy charge [c/kWh]" dataDxfId="37" dataCellStyle="CA Inp Calc 0.00"/>
    <tableColumn id="7" xr3:uid="{00000000-0010-0000-0000-000007000000}" name="Ancillary service charge [c/kWh]" dataDxfId="36" dataCellStyle="CA Inp Calc 0.00"/>
    <tableColumn id="8" xr3:uid="{00000000-0010-0000-0000-000008000000}" name="Network demand charge [c/kWh]" dataDxfId="35" dataCellStyle="CA Inp Calc 0.00"/>
    <tableColumn id="21" xr3:uid="{08CFDD3E-FBA9-43E7-A106-5C73EC68C2FB}" name="Network demand charge, Ancillary service charge and retail [c/kWh]" dataDxfId="34" dataCellStyle="CA Inp Calc 0.00"/>
    <tableColumn id="9" xr3:uid="{00000000-0010-0000-0000-000009000000}" name="Network capacity charge [R/POD/day]" dataDxfId="33" dataCellStyle="CA Inp Calc 0.00"/>
    <tableColumn id="11" xr3:uid="{00000000-0010-0000-0000-00000B000000}" name="Service and administration charge [R/POD/day]" dataDxfId="32" dataCellStyle="CA Inp Calc 0.00"/>
    <tableColumn id="27" xr3:uid="{4808B56D-EE8A-4340-98A9-D77BD716751F}" name="Environmental levy charge [c/kWh]" dataDxfId="31" dataCellStyle="CA Macro Number"/>
    <tableColumn id="22" xr3:uid="{206E808B-8784-4E3D-A966-393213D7EF3E}" name="Electrification and rural subsidy [c/kWh]" dataDxfId="30" dataCellStyle="CA Inp 0.00"/>
    <tableColumn id="26" xr3:uid="{8532D6FA-2DB5-4058-A227-C3DD14A6186D}" name="Generation capacity charge [R/POD/day]" dataDxfId="29" dataCellStyle="CA Inp 0.00"/>
    <tableColumn id="13" xr3:uid="{00000000-0010-0000-0000-00000D000000}" name="Legacy charge [c/kWh]" dataDxfId="28" dataCellStyle="CA Inp 0.0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Rates_AllOther_Current" displayName="Rates_AllOther_Current" ref="C7:Z51" totalsRowShown="0" headerRowDxfId="26" dataDxfId="25" tableBorderDxfId="24" dataCellStyle="CA Inp Calc 0.00">
  <autoFilter ref="C7:Z51" xr:uid="{00000000-0009-0000-0100-00000A000000}"/>
  <tableColumns count="24">
    <tableColumn id="1" xr3:uid="{00000000-0010-0000-0100-000001000000}" name="Tariff" dataDxfId="23"/>
    <tableColumn id="2" xr3:uid="{00000000-0010-0000-0100-000002000000}" name="Tariff Category" dataDxfId="22"/>
    <tableColumn id="3" xr3:uid="{00000000-0010-0000-0100-000003000000}" name="Type" dataDxfId="21"/>
    <tableColumn id="4" xr3:uid="{00000000-0010-0000-0100-000004000000}" name="Column1" dataDxfId="20"/>
    <tableColumn id="5" xr3:uid="{00000000-0010-0000-0100-000005000000}" name="Code" dataDxfId="19">
      <calculatedColumnFormula>C8&amp;"_"&amp;D8</calculatedColumnFormula>
    </tableColumn>
    <tableColumn id="14" xr3:uid="{00000000-0010-0000-0100-00000E000000}" name="Matrix Code" dataDxfId="18">
      <calculatedColumnFormula>INDEX(Matrix_Tariff_Map,MATCH(C8,Matrix_Model_Tariffs,0),2)&amp;IFERROR(INDEX(Matrix_Transmission_Map,MATCH(E8,Matrix_Model_Transmission,0),2),0)&amp;IFERROR(INDEX(Matrix_Voltage_Map,MATCH(F8,Matrix_Model_Voltage,0),2),1)&amp;INDEX(Matrix_Category_Map,MATCH(D8,Matrix_Model_Category,0),2)</calculatedColumnFormula>
    </tableColumn>
    <tableColumn id="18" xr3:uid="{FCD9FFD0-80DC-4B21-BA7C-C52EBEAF547C}" name="High - Peak" dataDxfId="17"/>
    <tableColumn id="19" xr3:uid="{DAB37C6A-9141-43EF-A9F2-82EAAF857B53}" name="High - Standard" dataDxfId="16"/>
    <tableColumn id="20" xr3:uid="{0C276816-8E0F-4690-9378-48D8873891B2}" name="High-Off Peak" dataDxfId="15"/>
    <tableColumn id="15" xr3:uid="{33074699-87F8-4836-A03C-367399EE93FB}" name="Low - Peak" dataDxfId="14"/>
    <tableColumn id="16" xr3:uid="{E581CBC2-7A82-4139-8763-C27D29C74906}" name="Low - Standard" dataDxfId="13"/>
    <tableColumn id="17" xr3:uid="{9CFB8277-FB1F-4C11-B52F-4A0658C2DA68}" name="Low-Off Peak" dataDxfId="12"/>
    <tableColumn id="12" xr3:uid="{00000000-0010-0000-0100-00000C000000}" name="Energy charge Block 1 [c/kWh]" dataDxfId="11" dataCellStyle="CA Macro Number"/>
    <tableColumn id="10" xr3:uid="{00000000-0010-0000-0100-00000A000000}" name="Energy charge Block 2 [c/kWh]" dataDxfId="10" dataCellStyle="CA Macro Number"/>
    <tableColumn id="6" xr3:uid="{00000000-0010-0000-0100-000006000000}" name="Energy charge [c/kWh]" dataDxfId="9" dataCellStyle="CA Inp Calc 0.00"/>
    <tableColumn id="7" xr3:uid="{00000000-0010-0000-0100-000007000000}" name="Ancillary service charge [c/kWh]" dataDxfId="8" dataCellStyle="CA Inp Calc 0.00"/>
    <tableColumn id="8" xr3:uid="{00000000-0010-0000-0100-000008000000}" name="Network demand charge [c/kWh]" dataDxfId="7" dataCellStyle="CA Inp Calc 0.00"/>
    <tableColumn id="21" xr3:uid="{7E01D5AC-4C8E-499F-B092-C615E5669777}" name="Network demand charge, Ancillary service charge and retail [c/kWh]" dataDxfId="6" dataCellStyle="CA Inp Calc 0.00"/>
    <tableColumn id="9" xr3:uid="{00000000-0010-0000-0100-000009000000}" name="Network capacity charge [R/POD/day]" dataDxfId="5" dataCellStyle="CA Inp Calc 0.00"/>
    <tableColumn id="11" xr3:uid="{00000000-0010-0000-0100-00000B000000}" name="Service and administration charge [R/POD/day]" dataDxfId="4" dataCellStyle="CA Inp Calc 0.00"/>
    <tableColumn id="24" xr3:uid="{20C16AE4-C831-42D8-A37C-AEB84F89E1B9}" name="Environmental levy charge [c/kWh]" dataDxfId="3" dataCellStyle="CA Macro Number"/>
    <tableColumn id="13" xr3:uid="{D113A63F-ACA6-429D-8052-27B5560EB435}" name="Electrification and rural subsidy [c/kWh]" dataDxfId="2" dataCellStyle="CA Macro Number"/>
    <tableColumn id="22" xr3:uid="{40760260-DD4E-4729-972B-0F01E0D8F0F8}" name="Generation capacity charge [R/POD/day]" dataDxfId="1" dataCellStyle="CA Inp Calc 0.00"/>
    <tableColumn id="23" xr3:uid="{D6A70B22-CD01-4E8A-8A9C-94AE59C3284F}" name="Legacy charge [c/kWh]" dataDxfId="0" dataCellStyle="CA Inp Calc 0.0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ivic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8CADAE"/>
      </a:accent3>
      <a:accent4>
        <a:srgbClr val="8C7B70"/>
      </a:accent4>
      <a:accent5>
        <a:srgbClr val="8FB08C"/>
      </a:accent5>
      <a:accent6>
        <a:srgbClr val="D19049"/>
      </a:accent6>
      <a:hlink>
        <a:srgbClr val="00A3D6"/>
      </a:hlink>
      <a:folHlink>
        <a:srgbClr val="694F07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3"/>
    <pageSetUpPr fitToPage="1"/>
  </sheetPr>
  <dimension ref="A1:XFC46"/>
  <sheetViews>
    <sheetView showGridLines="0" tabSelected="1" zoomScaleNormal="100" workbookViewId="0">
      <pane ySplit="5" topLeftCell="A6" activePane="bottomLeft" state="frozen"/>
      <selection pane="bottomLeft" activeCell="M26" sqref="M26"/>
    </sheetView>
  </sheetViews>
  <sheetFormatPr defaultColWidth="0" defaultRowHeight="12" zeroHeight="1"/>
  <cols>
    <col min="1" max="3" width="2.85546875" customWidth="1"/>
    <col min="4" max="4" width="20.7109375" customWidth="1"/>
    <col min="5" max="5" width="13.7109375" bestFit="1" customWidth="1"/>
    <col min="6" max="6" width="3.140625" customWidth="1"/>
    <col min="7" max="14" width="15.85546875" customWidth="1"/>
    <col min="15" max="15" width="18.5703125" customWidth="1"/>
    <col min="16" max="18" width="15.85546875" customWidth="1"/>
    <col min="19" max="25" width="9.28515625" customWidth="1"/>
    <col min="26" max="26" width="4.85546875" customWidth="1"/>
    <col min="27" max="27" width="25.28515625" hidden="1" customWidth="1"/>
    <col min="28" max="16382" width="4.85546875" customWidth="1"/>
    <col min="16383" max="16383" width="6" customWidth="1"/>
    <col min="16384" max="16384" width="4.140625" customWidth="1"/>
  </cols>
  <sheetData>
    <row r="1" spans="2:1016 1027:2039 2050:3062 3073:4096 4107:5119 5130:6142 6153:7165 7176:8188 8199:9211 9222:10234 10245:11257 11268:12280 12291:13303 13314:14326 14337:15360 15371:16383" ht="3.9" customHeight="1"/>
    <row r="2" spans="2:1016 1027:2039 2050:3062 3073:4096 4107:5119 5130:6142 6153:7165 7176:8188 8199:9211 9222:10234 10245:11257 11268:12280 12291:13303 13314:14326 14337:15360 15371:16383" ht="33" customHeight="1">
      <c r="S2" s="84" t="s">
        <v>413</v>
      </c>
      <c r="T2" s="84"/>
      <c r="U2" s="84"/>
      <c r="V2" s="84"/>
      <c r="W2" s="84"/>
      <c r="X2" s="84"/>
      <c r="Y2" s="84"/>
      <c r="AA2" t="str">
        <f ca="1">Selected_Base_Tariff</f>
        <v>Businessrate 1</v>
      </c>
    </row>
    <row r="3" spans="2:1016 1027:2039 2050:3062 3073:4096 4107:5119 5130:6142 6153:7165 7176:8188 8199:9211 9222:10234 10245:11257 11268:12280 12291:13303 13314:14326 14337:15360 15371:16383" ht="3.9" customHeight="1"/>
    <row r="4" spans="2:1016 1027:2039 2050:3062 3073:4096 4107:5119 5130:6142 6153:7165 7176:8188 8199:9211 9222:10234 10245:11257 11268:12280 12291:13303 13314:14326 14337:15360 15371:16383" ht="15">
      <c r="B4" s="1" t="s">
        <v>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1016 1027:2039 2050:3062 3073:4096 4107:5119 5130:6142 6153:7165 7176:8188 8199:9211 9222:10234 10245:11257 11268:12280 12291:13303 13314:14326 14337:15360 15371:16383"/>
    <row r="6" spans="2:1016 1027:2039 2050:3062 3073:4096 4107:5119 5130:6142 6153:7165 7176:8188 8199:9211 9222:10234 10245:11257 11268:12280 12291:13303 13314:14326 14337:15360 15371:16383" ht="12.6" thickBot="1">
      <c r="B6" s="7" t="s"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2:1016 1027:2039 2050:3062 3073:4096 4107:5119 5130:6142 6153:7165 7176:8188 8199:9211 9222:10234 10245:11257 11268:12280 12291:13303 13314:14326 14337:15360 15371:16383" ht="12.6" thickTop="1"/>
    <row r="8" spans="2:1016 1027:2039 2050:3062 3073:4096 4107:5119 5130:6142 6153:7165 7176:8188 8199:9211 9222:10234 10245:11257 11268:12280 12291:13303 13314:14326 14337:15360 15371:16383">
      <c r="D8" t="s">
        <v>2</v>
      </c>
      <c r="G8" s="212" t="s">
        <v>2</v>
      </c>
      <c r="H8" s="212"/>
      <c r="I8" s="9" t="s">
        <v>7</v>
      </c>
      <c r="AA8" t="s">
        <v>101</v>
      </c>
      <c r="AB8" s="18"/>
      <c r="AC8" s="18"/>
    </row>
    <row r="9" spans="2:1016 1027:2039 2050:3062 3073:4096 4107:5119 5130:6142 6153:7165 7176:8188 8199:9211 9222:10234 10245:11257 11268:12280 12291:13303 13314:14326 14337:15360 15371:16383">
      <c r="D9" t="s">
        <v>3</v>
      </c>
      <c r="G9" s="212" t="s">
        <v>200</v>
      </c>
      <c r="H9" s="212"/>
      <c r="I9" s="9" t="s">
        <v>8</v>
      </c>
      <c r="AA9" t="s">
        <v>102</v>
      </c>
      <c r="AB9" s="18"/>
      <c r="AC9" s="18"/>
    </row>
    <row r="10" spans="2:1016 1027:2039 2050:3062 3073:4096 4107:5119 5130:6142 6153:7165 7176:8188 8199:9211 9222:10234 10245:11257 11268:12280 12291:13303 13314:14326 14337:15360 15371:16383">
      <c r="D10" t="s">
        <v>4</v>
      </c>
      <c r="G10" s="212" t="s">
        <v>201</v>
      </c>
      <c r="H10" s="212"/>
      <c r="I10" s="9" t="s">
        <v>9</v>
      </c>
      <c r="AA10" t="s">
        <v>103</v>
      </c>
      <c r="AB10" s="18"/>
      <c r="AC10" s="18"/>
    </row>
    <row r="11" spans="2:1016 1027:2039 2050:3062 3073:4096 4107:5119 5130:6142 6153:7165 7176:8188 8199:9211 9222:10234 10245:11257 11268:12280 12291:13303 13314:14326 14337:15360 15371:16383">
      <c r="D11" t="s">
        <v>98</v>
      </c>
      <c r="H11" s="8">
        <v>1</v>
      </c>
      <c r="I11" s="9"/>
      <c r="AA11" t="s">
        <v>104</v>
      </c>
    </row>
    <row r="12" spans="2:1016 1027:2039 2050:3062 3073:4096 4107:5119 5130:6142 6153:7165 7176:8188 8199:9211 9222:10234 10245:11257 11268:12280 12291:13303 13314:14326 14337:15360 15371:16383">
      <c r="I12" s="10"/>
      <c r="AA12" t="s">
        <v>111</v>
      </c>
    </row>
    <row r="13" spans="2:1016 1027:2039 2050:3062 3073:4096 4107:5119 5130:6142 6153:7165 7176:8188 8199:9211 9222:10234 10245:11257 11268:12280 12291:13303 13314:14326 14337:15360 15371:16383" ht="17.25" customHeight="1">
      <c r="D13" s="40" t="s">
        <v>213</v>
      </c>
      <c r="E13" s="40"/>
      <c r="F13" s="40"/>
      <c r="G13" s="40"/>
      <c r="H13" s="40"/>
      <c r="I13" s="83" t="s">
        <v>260</v>
      </c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AA13" t="s">
        <v>112</v>
      </c>
    </row>
    <row r="14" spans="2:1016 1027:2039 2050:3062 3073:4096 4107:5119 5130:6142 6153:7165 7176:8188 8199:9211 9222:10234 10245:11257 11268:12280 12291:13303 13314:14326 14337:15360 15371:16383" ht="3.6" customHeight="1">
      <c r="H14" s="10"/>
      <c r="AA14" t="s">
        <v>106</v>
      </c>
    </row>
    <row r="15" spans="2:1016 1027:2039 2050:3062 3073:4096 4107:5119 5130:6142 6153:7165 7176:8188 8199:9211 9222:10234 10245:11257 11268:12280 12291:13303 13314:14326 14337:15360 15371:16383" s="40" customFormat="1" ht="17.25" customHeight="1">
      <c r="D15" s="40" t="s">
        <v>141</v>
      </c>
      <c r="F15" s="41"/>
      <c r="G15" s="40" t="s">
        <v>142</v>
      </c>
      <c r="I15" s="42"/>
      <c r="Z15" s="41"/>
      <c r="AA15" s="40" t="s">
        <v>107</v>
      </c>
      <c r="AK15" s="41"/>
      <c r="AV15" s="41"/>
      <c r="BG15" s="41"/>
      <c r="BR15" s="41"/>
      <c r="CC15" s="41"/>
      <c r="CN15" s="41"/>
      <c r="CY15" s="41"/>
      <c r="DJ15" s="41"/>
      <c r="DU15" s="41"/>
      <c r="EF15" s="41"/>
      <c r="EQ15" s="41"/>
      <c r="FB15" s="41"/>
      <c r="FM15" s="41"/>
      <c r="FX15" s="41"/>
      <c r="GI15" s="41"/>
      <c r="GT15" s="41"/>
      <c r="HE15" s="41"/>
      <c r="HP15" s="41"/>
      <c r="IA15" s="41"/>
      <c r="IL15" s="41"/>
      <c r="IW15" s="41"/>
      <c r="JH15" s="41"/>
      <c r="JS15" s="41"/>
      <c r="KD15" s="41"/>
      <c r="KO15" s="41"/>
      <c r="KZ15" s="41"/>
      <c r="LK15" s="41"/>
      <c r="LV15" s="41"/>
      <c r="MG15" s="41"/>
      <c r="MR15" s="41"/>
      <c r="NC15" s="41"/>
      <c r="NN15" s="41"/>
      <c r="NY15" s="41"/>
      <c r="OJ15" s="41"/>
      <c r="OU15" s="41"/>
      <c r="PF15" s="41"/>
      <c r="PQ15" s="41"/>
      <c r="QB15" s="41"/>
      <c r="QM15" s="41"/>
      <c r="QX15" s="41"/>
      <c r="RI15" s="41"/>
      <c r="RT15" s="41"/>
      <c r="SE15" s="41"/>
      <c r="SP15" s="41"/>
      <c r="TA15" s="41"/>
      <c r="TL15" s="41"/>
      <c r="TW15" s="41"/>
      <c r="UH15" s="41"/>
      <c r="US15" s="41"/>
      <c r="VD15" s="41"/>
      <c r="VO15" s="41"/>
      <c r="VZ15" s="41"/>
      <c r="WK15" s="41"/>
      <c r="WV15" s="41"/>
      <c r="XG15" s="41"/>
      <c r="XR15" s="41"/>
      <c r="YC15" s="41"/>
      <c r="YN15" s="41"/>
      <c r="YY15" s="41"/>
      <c r="ZJ15" s="41"/>
      <c r="ZU15" s="41"/>
      <c r="AAF15" s="41"/>
      <c r="AAQ15" s="41"/>
      <c r="ABB15" s="41"/>
      <c r="ABM15" s="41"/>
      <c r="ABX15" s="41"/>
      <c r="ACI15" s="41"/>
      <c r="ACT15" s="41"/>
      <c r="ADE15" s="41"/>
      <c r="ADP15" s="41"/>
      <c r="AEA15" s="41"/>
      <c r="AEL15" s="41"/>
      <c r="AEW15" s="41"/>
      <c r="AFH15" s="41"/>
      <c r="AFS15" s="41"/>
      <c r="AGD15" s="41"/>
      <c r="AGO15" s="41"/>
      <c r="AGZ15" s="41"/>
      <c r="AHK15" s="41"/>
      <c r="AHV15" s="41"/>
      <c r="AIG15" s="41"/>
      <c r="AIR15" s="41"/>
      <c r="AJC15" s="41"/>
      <c r="AJN15" s="41"/>
      <c r="AJY15" s="41"/>
      <c r="AKJ15" s="41"/>
      <c r="AKU15" s="41"/>
      <c r="ALF15" s="41"/>
      <c r="ALQ15" s="41"/>
      <c r="AMB15" s="41"/>
      <c r="AMM15" s="41"/>
      <c r="AMX15" s="41"/>
      <c r="ANI15" s="41"/>
      <c r="ANT15" s="41"/>
      <c r="AOE15" s="41"/>
      <c r="AOP15" s="41"/>
      <c r="APA15" s="41"/>
      <c r="APL15" s="41"/>
      <c r="APW15" s="41"/>
      <c r="AQH15" s="41"/>
      <c r="AQS15" s="41"/>
      <c r="ARD15" s="41"/>
      <c r="ARO15" s="41"/>
      <c r="ARZ15" s="41"/>
      <c r="ASK15" s="41"/>
      <c r="ASV15" s="41"/>
      <c r="ATG15" s="41"/>
      <c r="ATR15" s="41"/>
      <c r="AUC15" s="41"/>
      <c r="AUN15" s="41"/>
      <c r="AUY15" s="41"/>
      <c r="AVJ15" s="41"/>
      <c r="AVU15" s="41"/>
      <c r="AWF15" s="41"/>
      <c r="AWQ15" s="41"/>
      <c r="AXB15" s="41"/>
      <c r="AXM15" s="41"/>
      <c r="AXX15" s="41"/>
      <c r="AYI15" s="41"/>
      <c r="AYT15" s="41"/>
      <c r="AZE15" s="41"/>
      <c r="AZP15" s="41"/>
      <c r="BAA15" s="41"/>
      <c r="BAL15" s="41"/>
      <c r="BAW15" s="41"/>
      <c r="BBH15" s="41"/>
      <c r="BBS15" s="41"/>
      <c r="BCD15" s="41"/>
      <c r="BCO15" s="41"/>
      <c r="BCZ15" s="41"/>
      <c r="BDK15" s="41"/>
      <c r="BDV15" s="41"/>
      <c r="BEG15" s="41"/>
      <c r="BER15" s="41"/>
      <c r="BFC15" s="41"/>
      <c r="BFN15" s="41"/>
      <c r="BFY15" s="41"/>
      <c r="BGJ15" s="41"/>
      <c r="BGU15" s="41"/>
      <c r="BHF15" s="41"/>
      <c r="BHQ15" s="41"/>
      <c r="BIB15" s="41"/>
      <c r="BIM15" s="41"/>
      <c r="BIX15" s="41"/>
      <c r="BJI15" s="41"/>
      <c r="BJT15" s="41"/>
      <c r="BKE15" s="41"/>
      <c r="BKP15" s="41"/>
      <c r="BLA15" s="41"/>
      <c r="BLL15" s="41"/>
      <c r="BLW15" s="41"/>
      <c r="BMH15" s="41"/>
      <c r="BMS15" s="41"/>
      <c r="BND15" s="41"/>
      <c r="BNO15" s="41"/>
      <c r="BNZ15" s="41"/>
      <c r="BOK15" s="41"/>
      <c r="BOV15" s="41"/>
      <c r="BPG15" s="41"/>
      <c r="BPR15" s="41"/>
      <c r="BQC15" s="41"/>
      <c r="BQN15" s="41"/>
      <c r="BQY15" s="41"/>
      <c r="BRJ15" s="41"/>
      <c r="BRU15" s="41"/>
      <c r="BSF15" s="41"/>
      <c r="BSQ15" s="41"/>
      <c r="BTB15" s="41"/>
      <c r="BTM15" s="41"/>
      <c r="BTX15" s="41"/>
      <c r="BUI15" s="41"/>
      <c r="BUT15" s="41"/>
      <c r="BVE15" s="41"/>
      <c r="BVP15" s="41"/>
      <c r="BWA15" s="41"/>
      <c r="BWL15" s="41"/>
      <c r="BWW15" s="41"/>
      <c r="BXH15" s="41"/>
      <c r="BXS15" s="41"/>
      <c r="BYD15" s="41"/>
      <c r="BYO15" s="41"/>
      <c r="BYZ15" s="41"/>
      <c r="BZK15" s="41"/>
      <c r="BZV15" s="41"/>
      <c r="CAG15" s="41"/>
      <c r="CAR15" s="41"/>
      <c r="CBC15" s="41"/>
      <c r="CBN15" s="41"/>
      <c r="CBY15" s="41"/>
      <c r="CCJ15" s="41"/>
      <c r="CCU15" s="41"/>
      <c r="CDF15" s="41"/>
      <c r="CDQ15" s="41"/>
      <c r="CEB15" s="41"/>
      <c r="CEM15" s="41"/>
      <c r="CEX15" s="41"/>
      <c r="CFI15" s="41"/>
      <c r="CFT15" s="41"/>
      <c r="CGE15" s="41"/>
      <c r="CGP15" s="41"/>
      <c r="CHA15" s="41"/>
      <c r="CHL15" s="41"/>
      <c r="CHW15" s="41"/>
      <c r="CIH15" s="41"/>
      <c r="CIS15" s="41"/>
      <c r="CJD15" s="41"/>
      <c r="CJO15" s="41"/>
      <c r="CJZ15" s="41"/>
      <c r="CKK15" s="41"/>
      <c r="CKV15" s="41"/>
      <c r="CLG15" s="41"/>
      <c r="CLR15" s="41"/>
      <c r="CMC15" s="41"/>
      <c r="CMN15" s="41"/>
      <c r="CMY15" s="41"/>
      <c r="CNJ15" s="41"/>
      <c r="CNU15" s="41"/>
      <c r="COF15" s="41"/>
      <c r="COQ15" s="41"/>
      <c r="CPB15" s="41"/>
      <c r="CPM15" s="41"/>
      <c r="CPX15" s="41"/>
      <c r="CQI15" s="41"/>
      <c r="CQT15" s="41"/>
      <c r="CRE15" s="41"/>
      <c r="CRP15" s="41"/>
      <c r="CSA15" s="41"/>
      <c r="CSL15" s="41"/>
      <c r="CSW15" s="41"/>
      <c r="CTH15" s="41"/>
      <c r="CTS15" s="41"/>
      <c r="CUD15" s="41"/>
      <c r="CUO15" s="41"/>
      <c r="CUZ15" s="41"/>
      <c r="CVK15" s="41"/>
      <c r="CVV15" s="41"/>
      <c r="CWG15" s="41"/>
      <c r="CWR15" s="41"/>
      <c r="CXC15" s="41"/>
      <c r="CXN15" s="41"/>
      <c r="CXY15" s="41"/>
      <c r="CYJ15" s="41"/>
      <c r="CYU15" s="41"/>
      <c r="CZF15" s="41"/>
      <c r="CZQ15" s="41"/>
      <c r="DAB15" s="41"/>
      <c r="DAM15" s="41"/>
      <c r="DAX15" s="41"/>
      <c r="DBI15" s="41"/>
      <c r="DBT15" s="41"/>
      <c r="DCE15" s="41"/>
      <c r="DCP15" s="41"/>
      <c r="DDA15" s="41"/>
      <c r="DDL15" s="41"/>
      <c r="DDW15" s="41"/>
      <c r="DEH15" s="41"/>
      <c r="DES15" s="41"/>
      <c r="DFD15" s="41"/>
      <c r="DFO15" s="41"/>
      <c r="DFZ15" s="41"/>
      <c r="DGK15" s="41"/>
      <c r="DGV15" s="41"/>
      <c r="DHG15" s="41"/>
      <c r="DHR15" s="41"/>
      <c r="DIC15" s="41"/>
      <c r="DIN15" s="41"/>
      <c r="DIY15" s="41"/>
      <c r="DJJ15" s="41"/>
      <c r="DJU15" s="41"/>
      <c r="DKF15" s="41"/>
      <c r="DKQ15" s="41"/>
      <c r="DLB15" s="41"/>
      <c r="DLM15" s="41"/>
      <c r="DLX15" s="41"/>
      <c r="DMI15" s="41"/>
      <c r="DMT15" s="41"/>
      <c r="DNE15" s="41"/>
      <c r="DNP15" s="41"/>
      <c r="DOA15" s="41"/>
      <c r="DOL15" s="41"/>
      <c r="DOW15" s="41"/>
      <c r="DPH15" s="41"/>
      <c r="DPS15" s="41"/>
      <c r="DQD15" s="41"/>
      <c r="DQO15" s="41"/>
      <c r="DQZ15" s="41"/>
      <c r="DRK15" s="41"/>
      <c r="DRV15" s="41"/>
      <c r="DSG15" s="41"/>
      <c r="DSR15" s="41"/>
      <c r="DTC15" s="41"/>
      <c r="DTN15" s="41"/>
      <c r="DTY15" s="41"/>
      <c r="DUJ15" s="41"/>
      <c r="DUU15" s="41"/>
      <c r="DVF15" s="41"/>
      <c r="DVQ15" s="41"/>
      <c r="DWB15" s="41"/>
      <c r="DWM15" s="41"/>
      <c r="DWX15" s="41"/>
      <c r="DXI15" s="41"/>
      <c r="DXT15" s="41"/>
      <c r="DYE15" s="41"/>
      <c r="DYP15" s="41"/>
      <c r="DZA15" s="41"/>
      <c r="DZL15" s="41"/>
      <c r="DZW15" s="41"/>
      <c r="EAH15" s="41"/>
      <c r="EAS15" s="41"/>
      <c r="EBD15" s="41"/>
      <c r="EBO15" s="41"/>
      <c r="EBZ15" s="41"/>
      <c r="ECK15" s="41"/>
      <c r="ECV15" s="41"/>
      <c r="EDG15" s="41"/>
      <c r="EDR15" s="41"/>
      <c r="EEC15" s="41"/>
      <c r="EEN15" s="41"/>
      <c r="EEY15" s="41"/>
      <c r="EFJ15" s="41"/>
      <c r="EFU15" s="41"/>
      <c r="EGF15" s="41"/>
      <c r="EGQ15" s="41"/>
      <c r="EHB15" s="41"/>
      <c r="EHM15" s="41"/>
      <c r="EHX15" s="41"/>
      <c r="EII15" s="41"/>
      <c r="EIT15" s="41"/>
      <c r="EJE15" s="41"/>
      <c r="EJP15" s="41"/>
      <c r="EKA15" s="41"/>
      <c r="EKL15" s="41"/>
      <c r="EKW15" s="41"/>
      <c r="ELH15" s="41"/>
      <c r="ELS15" s="41"/>
      <c r="EMD15" s="41"/>
      <c r="EMO15" s="41"/>
      <c r="EMZ15" s="41"/>
      <c r="ENK15" s="41"/>
      <c r="ENV15" s="41"/>
      <c r="EOG15" s="41"/>
      <c r="EOR15" s="41"/>
      <c r="EPC15" s="41"/>
      <c r="EPN15" s="41"/>
      <c r="EPY15" s="41"/>
      <c r="EQJ15" s="41"/>
      <c r="EQU15" s="41"/>
      <c r="ERF15" s="41"/>
      <c r="ERQ15" s="41"/>
      <c r="ESB15" s="41"/>
      <c r="ESM15" s="41"/>
      <c r="ESX15" s="41"/>
      <c r="ETI15" s="41"/>
      <c r="ETT15" s="41"/>
      <c r="EUE15" s="41"/>
      <c r="EUP15" s="41"/>
      <c r="EVA15" s="41"/>
      <c r="EVL15" s="41"/>
      <c r="EVW15" s="41"/>
      <c r="EWH15" s="41"/>
      <c r="EWS15" s="41"/>
      <c r="EXD15" s="41"/>
      <c r="EXO15" s="41"/>
      <c r="EXZ15" s="41"/>
      <c r="EYK15" s="41"/>
      <c r="EYV15" s="41"/>
      <c r="EZG15" s="41"/>
      <c r="EZR15" s="41"/>
      <c r="FAC15" s="41"/>
      <c r="FAN15" s="41"/>
      <c r="FAY15" s="41"/>
      <c r="FBJ15" s="41"/>
      <c r="FBU15" s="41"/>
      <c r="FCF15" s="41"/>
      <c r="FCQ15" s="41"/>
      <c r="FDB15" s="41"/>
      <c r="FDM15" s="41"/>
      <c r="FDX15" s="41"/>
      <c r="FEI15" s="41"/>
      <c r="FET15" s="41"/>
      <c r="FFE15" s="41"/>
      <c r="FFP15" s="41"/>
      <c r="FGA15" s="41"/>
      <c r="FGL15" s="41"/>
      <c r="FGW15" s="41"/>
      <c r="FHH15" s="41"/>
      <c r="FHS15" s="41"/>
      <c r="FID15" s="41"/>
      <c r="FIO15" s="41"/>
      <c r="FIZ15" s="41"/>
      <c r="FJK15" s="41"/>
      <c r="FJV15" s="41"/>
      <c r="FKG15" s="41"/>
      <c r="FKR15" s="41"/>
      <c r="FLC15" s="41"/>
      <c r="FLN15" s="41"/>
      <c r="FLY15" s="41"/>
      <c r="FMJ15" s="41"/>
      <c r="FMU15" s="41"/>
      <c r="FNF15" s="41"/>
      <c r="FNQ15" s="41"/>
      <c r="FOB15" s="41"/>
      <c r="FOM15" s="41"/>
      <c r="FOX15" s="41"/>
      <c r="FPI15" s="41"/>
      <c r="FPT15" s="41"/>
      <c r="FQE15" s="41"/>
      <c r="FQP15" s="41"/>
      <c r="FRA15" s="41"/>
      <c r="FRL15" s="41"/>
      <c r="FRW15" s="41"/>
      <c r="FSH15" s="41"/>
      <c r="FSS15" s="41"/>
      <c r="FTD15" s="41"/>
      <c r="FTO15" s="41"/>
      <c r="FTZ15" s="41"/>
      <c r="FUK15" s="41"/>
      <c r="FUV15" s="41"/>
      <c r="FVG15" s="41"/>
      <c r="FVR15" s="41"/>
      <c r="FWC15" s="41"/>
      <c r="FWN15" s="41"/>
      <c r="FWY15" s="41"/>
      <c r="FXJ15" s="41"/>
      <c r="FXU15" s="41"/>
      <c r="FYF15" s="41"/>
      <c r="FYQ15" s="41"/>
      <c r="FZB15" s="41"/>
      <c r="FZM15" s="41"/>
      <c r="FZX15" s="41"/>
      <c r="GAI15" s="41"/>
      <c r="GAT15" s="41"/>
      <c r="GBE15" s="41"/>
      <c r="GBP15" s="41"/>
      <c r="GCA15" s="41"/>
      <c r="GCL15" s="41"/>
      <c r="GCW15" s="41"/>
      <c r="GDH15" s="41"/>
      <c r="GDS15" s="41"/>
      <c r="GED15" s="41"/>
      <c r="GEO15" s="41"/>
      <c r="GEZ15" s="41"/>
      <c r="GFK15" s="41"/>
      <c r="GFV15" s="41"/>
      <c r="GGG15" s="41"/>
      <c r="GGR15" s="41"/>
      <c r="GHC15" s="41"/>
      <c r="GHN15" s="41"/>
      <c r="GHY15" s="41"/>
      <c r="GIJ15" s="41"/>
      <c r="GIU15" s="41"/>
      <c r="GJF15" s="41"/>
      <c r="GJQ15" s="41"/>
      <c r="GKB15" s="41"/>
      <c r="GKM15" s="41"/>
      <c r="GKX15" s="41"/>
      <c r="GLI15" s="41"/>
      <c r="GLT15" s="41"/>
      <c r="GME15" s="41"/>
      <c r="GMP15" s="41"/>
      <c r="GNA15" s="41"/>
      <c r="GNL15" s="41"/>
      <c r="GNW15" s="41"/>
      <c r="GOH15" s="41"/>
      <c r="GOS15" s="41"/>
      <c r="GPD15" s="41"/>
      <c r="GPO15" s="41"/>
      <c r="GPZ15" s="41"/>
      <c r="GQK15" s="41"/>
      <c r="GQV15" s="41"/>
      <c r="GRG15" s="41"/>
      <c r="GRR15" s="41"/>
      <c r="GSC15" s="41"/>
      <c r="GSN15" s="41"/>
      <c r="GSY15" s="41"/>
      <c r="GTJ15" s="41"/>
      <c r="GTU15" s="41"/>
      <c r="GUF15" s="41"/>
      <c r="GUQ15" s="41"/>
      <c r="GVB15" s="41"/>
      <c r="GVM15" s="41"/>
      <c r="GVX15" s="41"/>
      <c r="GWI15" s="41"/>
      <c r="GWT15" s="41"/>
      <c r="GXE15" s="41"/>
      <c r="GXP15" s="41"/>
      <c r="GYA15" s="41"/>
      <c r="GYL15" s="41"/>
      <c r="GYW15" s="41"/>
      <c r="GZH15" s="41"/>
      <c r="GZS15" s="41"/>
      <c r="HAD15" s="41"/>
      <c r="HAO15" s="41"/>
      <c r="HAZ15" s="41"/>
      <c r="HBK15" s="41"/>
      <c r="HBV15" s="41"/>
      <c r="HCG15" s="41"/>
      <c r="HCR15" s="41"/>
      <c r="HDC15" s="41"/>
      <c r="HDN15" s="41"/>
      <c r="HDY15" s="41"/>
      <c r="HEJ15" s="41"/>
      <c r="HEU15" s="41"/>
      <c r="HFF15" s="41"/>
      <c r="HFQ15" s="41"/>
      <c r="HGB15" s="41"/>
      <c r="HGM15" s="41"/>
      <c r="HGX15" s="41"/>
      <c r="HHI15" s="41"/>
      <c r="HHT15" s="41"/>
      <c r="HIE15" s="41"/>
      <c r="HIP15" s="41"/>
      <c r="HJA15" s="41"/>
      <c r="HJL15" s="41"/>
      <c r="HJW15" s="41"/>
      <c r="HKH15" s="41"/>
      <c r="HKS15" s="41"/>
      <c r="HLD15" s="41"/>
      <c r="HLO15" s="41"/>
      <c r="HLZ15" s="41"/>
      <c r="HMK15" s="41"/>
      <c r="HMV15" s="41"/>
      <c r="HNG15" s="41"/>
      <c r="HNR15" s="41"/>
      <c r="HOC15" s="41"/>
      <c r="HON15" s="41"/>
      <c r="HOY15" s="41"/>
      <c r="HPJ15" s="41"/>
      <c r="HPU15" s="41"/>
      <c r="HQF15" s="41"/>
      <c r="HQQ15" s="41"/>
      <c r="HRB15" s="41"/>
      <c r="HRM15" s="41"/>
      <c r="HRX15" s="41"/>
      <c r="HSI15" s="41"/>
      <c r="HST15" s="41"/>
      <c r="HTE15" s="41"/>
      <c r="HTP15" s="41"/>
      <c r="HUA15" s="41"/>
      <c r="HUL15" s="41"/>
      <c r="HUW15" s="41"/>
      <c r="HVH15" s="41"/>
      <c r="HVS15" s="41"/>
      <c r="HWD15" s="41"/>
      <c r="HWO15" s="41"/>
      <c r="HWZ15" s="41"/>
      <c r="HXK15" s="41"/>
      <c r="HXV15" s="41"/>
      <c r="HYG15" s="41"/>
      <c r="HYR15" s="41"/>
      <c r="HZC15" s="41"/>
      <c r="HZN15" s="41"/>
      <c r="HZY15" s="41"/>
      <c r="IAJ15" s="41"/>
      <c r="IAU15" s="41"/>
      <c r="IBF15" s="41"/>
      <c r="IBQ15" s="41"/>
      <c r="ICB15" s="41"/>
      <c r="ICM15" s="41"/>
      <c r="ICX15" s="41"/>
      <c r="IDI15" s="41"/>
      <c r="IDT15" s="41"/>
      <c r="IEE15" s="41"/>
      <c r="IEP15" s="41"/>
      <c r="IFA15" s="41"/>
      <c r="IFL15" s="41"/>
      <c r="IFW15" s="41"/>
      <c r="IGH15" s="41"/>
      <c r="IGS15" s="41"/>
      <c r="IHD15" s="41"/>
      <c r="IHO15" s="41"/>
      <c r="IHZ15" s="41"/>
      <c r="IIK15" s="41"/>
      <c r="IIV15" s="41"/>
      <c r="IJG15" s="41"/>
      <c r="IJR15" s="41"/>
      <c r="IKC15" s="41"/>
      <c r="IKN15" s="41"/>
      <c r="IKY15" s="41"/>
      <c r="ILJ15" s="41"/>
      <c r="ILU15" s="41"/>
      <c r="IMF15" s="41"/>
      <c r="IMQ15" s="41"/>
      <c r="INB15" s="41"/>
      <c r="INM15" s="41"/>
      <c r="INX15" s="41"/>
      <c r="IOI15" s="41"/>
      <c r="IOT15" s="41"/>
      <c r="IPE15" s="41"/>
      <c r="IPP15" s="41"/>
      <c r="IQA15" s="41"/>
      <c r="IQL15" s="41"/>
      <c r="IQW15" s="41"/>
      <c r="IRH15" s="41"/>
      <c r="IRS15" s="41"/>
      <c r="ISD15" s="41"/>
      <c r="ISO15" s="41"/>
      <c r="ISZ15" s="41"/>
      <c r="ITK15" s="41"/>
      <c r="ITV15" s="41"/>
      <c r="IUG15" s="41"/>
      <c r="IUR15" s="41"/>
      <c r="IVC15" s="41"/>
      <c r="IVN15" s="41"/>
      <c r="IVY15" s="41"/>
      <c r="IWJ15" s="41"/>
      <c r="IWU15" s="41"/>
      <c r="IXF15" s="41"/>
      <c r="IXQ15" s="41"/>
      <c r="IYB15" s="41"/>
      <c r="IYM15" s="41"/>
      <c r="IYX15" s="41"/>
      <c r="IZI15" s="41"/>
      <c r="IZT15" s="41"/>
      <c r="JAE15" s="41"/>
      <c r="JAP15" s="41"/>
      <c r="JBA15" s="41"/>
      <c r="JBL15" s="41"/>
      <c r="JBW15" s="41"/>
      <c r="JCH15" s="41"/>
      <c r="JCS15" s="41"/>
      <c r="JDD15" s="41"/>
      <c r="JDO15" s="41"/>
      <c r="JDZ15" s="41"/>
      <c r="JEK15" s="41"/>
      <c r="JEV15" s="41"/>
      <c r="JFG15" s="41"/>
      <c r="JFR15" s="41"/>
      <c r="JGC15" s="41"/>
      <c r="JGN15" s="41"/>
      <c r="JGY15" s="41"/>
      <c r="JHJ15" s="41"/>
      <c r="JHU15" s="41"/>
      <c r="JIF15" s="41"/>
      <c r="JIQ15" s="41"/>
      <c r="JJB15" s="41"/>
      <c r="JJM15" s="41"/>
      <c r="JJX15" s="41"/>
      <c r="JKI15" s="41"/>
      <c r="JKT15" s="41"/>
      <c r="JLE15" s="41"/>
      <c r="JLP15" s="41"/>
      <c r="JMA15" s="41"/>
      <c r="JML15" s="41"/>
      <c r="JMW15" s="41"/>
      <c r="JNH15" s="41"/>
      <c r="JNS15" s="41"/>
      <c r="JOD15" s="41"/>
      <c r="JOO15" s="41"/>
      <c r="JOZ15" s="41"/>
      <c r="JPK15" s="41"/>
      <c r="JPV15" s="41"/>
      <c r="JQG15" s="41"/>
      <c r="JQR15" s="41"/>
      <c r="JRC15" s="41"/>
      <c r="JRN15" s="41"/>
      <c r="JRY15" s="41"/>
      <c r="JSJ15" s="41"/>
      <c r="JSU15" s="41"/>
      <c r="JTF15" s="41"/>
      <c r="JTQ15" s="41"/>
      <c r="JUB15" s="41"/>
      <c r="JUM15" s="41"/>
      <c r="JUX15" s="41"/>
      <c r="JVI15" s="41"/>
      <c r="JVT15" s="41"/>
      <c r="JWE15" s="41"/>
      <c r="JWP15" s="41"/>
      <c r="JXA15" s="41"/>
      <c r="JXL15" s="41"/>
      <c r="JXW15" s="41"/>
      <c r="JYH15" s="41"/>
      <c r="JYS15" s="41"/>
      <c r="JZD15" s="41"/>
      <c r="JZO15" s="41"/>
      <c r="JZZ15" s="41"/>
      <c r="KAK15" s="41"/>
      <c r="KAV15" s="41"/>
      <c r="KBG15" s="41"/>
      <c r="KBR15" s="41"/>
      <c r="KCC15" s="41"/>
      <c r="KCN15" s="41"/>
      <c r="KCY15" s="41"/>
      <c r="KDJ15" s="41"/>
      <c r="KDU15" s="41"/>
      <c r="KEF15" s="41"/>
      <c r="KEQ15" s="41"/>
      <c r="KFB15" s="41"/>
      <c r="KFM15" s="41"/>
      <c r="KFX15" s="41"/>
      <c r="KGI15" s="41"/>
      <c r="KGT15" s="41"/>
      <c r="KHE15" s="41"/>
      <c r="KHP15" s="41"/>
      <c r="KIA15" s="41"/>
      <c r="KIL15" s="41"/>
      <c r="KIW15" s="41"/>
      <c r="KJH15" s="41"/>
      <c r="KJS15" s="41"/>
      <c r="KKD15" s="41"/>
      <c r="KKO15" s="41"/>
      <c r="KKZ15" s="41"/>
      <c r="KLK15" s="41"/>
      <c r="KLV15" s="41"/>
      <c r="KMG15" s="41"/>
      <c r="KMR15" s="41"/>
      <c r="KNC15" s="41"/>
      <c r="KNN15" s="41"/>
      <c r="KNY15" s="41"/>
      <c r="KOJ15" s="41"/>
      <c r="KOU15" s="41"/>
      <c r="KPF15" s="41"/>
      <c r="KPQ15" s="41"/>
      <c r="KQB15" s="41"/>
      <c r="KQM15" s="41"/>
      <c r="KQX15" s="41"/>
      <c r="KRI15" s="41"/>
      <c r="KRT15" s="41"/>
      <c r="KSE15" s="41"/>
      <c r="KSP15" s="41"/>
      <c r="KTA15" s="41"/>
      <c r="KTL15" s="41"/>
      <c r="KTW15" s="41"/>
      <c r="KUH15" s="41"/>
      <c r="KUS15" s="41"/>
      <c r="KVD15" s="41"/>
      <c r="KVO15" s="41"/>
      <c r="KVZ15" s="41"/>
      <c r="KWK15" s="41"/>
      <c r="KWV15" s="41"/>
      <c r="KXG15" s="41"/>
      <c r="KXR15" s="41"/>
      <c r="KYC15" s="41"/>
      <c r="KYN15" s="41"/>
      <c r="KYY15" s="41"/>
      <c r="KZJ15" s="41"/>
      <c r="KZU15" s="41"/>
      <c r="LAF15" s="41"/>
      <c r="LAQ15" s="41"/>
      <c r="LBB15" s="41"/>
      <c r="LBM15" s="41"/>
      <c r="LBX15" s="41"/>
      <c r="LCI15" s="41"/>
      <c r="LCT15" s="41"/>
      <c r="LDE15" s="41"/>
      <c r="LDP15" s="41"/>
      <c r="LEA15" s="41"/>
      <c r="LEL15" s="41"/>
      <c r="LEW15" s="41"/>
      <c r="LFH15" s="41"/>
      <c r="LFS15" s="41"/>
      <c r="LGD15" s="41"/>
      <c r="LGO15" s="41"/>
      <c r="LGZ15" s="41"/>
      <c r="LHK15" s="41"/>
      <c r="LHV15" s="41"/>
      <c r="LIG15" s="41"/>
      <c r="LIR15" s="41"/>
      <c r="LJC15" s="41"/>
      <c r="LJN15" s="41"/>
      <c r="LJY15" s="41"/>
      <c r="LKJ15" s="41"/>
      <c r="LKU15" s="41"/>
      <c r="LLF15" s="41"/>
      <c r="LLQ15" s="41"/>
      <c r="LMB15" s="41"/>
      <c r="LMM15" s="41"/>
      <c r="LMX15" s="41"/>
      <c r="LNI15" s="41"/>
      <c r="LNT15" s="41"/>
      <c r="LOE15" s="41"/>
      <c r="LOP15" s="41"/>
      <c r="LPA15" s="41"/>
      <c r="LPL15" s="41"/>
      <c r="LPW15" s="41"/>
      <c r="LQH15" s="41"/>
      <c r="LQS15" s="41"/>
      <c r="LRD15" s="41"/>
      <c r="LRO15" s="41"/>
      <c r="LRZ15" s="41"/>
      <c r="LSK15" s="41"/>
      <c r="LSV15" s="41"/>
      <c r="LTG15" s="41"/>
      <c r="LTR15" s="41"/>
      <c r="LUC15" s="41"/>
      <c r="LUN15" s="41"/>
      <c r="LUY15" s="41"/>
      <c r="LVJ15" s="41"/>
      <c r="LVU15" s="41"/>
      <c r="LWF15" s="41"/>
      <c r="LWQ15" s="41"/>
      <c r="LXB15" s="41"/>
      <c r="LXM15" s="41"/>
      <c r="LXX15" s="41"/>
      <c r="LYI15" s="41"/>
      <c r="LYT15" s="41"/>
      <c r="LZE15" s="41"/>
      <c r="LZP15" s="41"/>
      <c r="MAA15" s="41"/>
      <c r="MAL15" s="41"/>
      <c r="MAW15" s="41"/>
      <c r="MBH15" s="41"/>
      <c r="MBS15" s="41"/>
      <c r="MCD15" s="41"/>
      <c r="MCO15" s="41"/>
      <c r="MCZ15" s="41"/>
      <c r="MDK15" s="41"/>
      <c r="MDV15" s="41"/>
      <c r="MEG15" s="41"/>
      <c r="MER15" s="41"/>
      <c r="MFC15" s="41"/>
      <c r="MFN15" s="41"/>
      <c r="MFY15" s="41"/>
      <c r="MGJ15" s="41"/>
      <c r="MGU15" s="41"/>
      <c r="MHF15" s="41"/>
      <c r="MHQ15" s="41"/>
      <c r="MIB15" s="41"/>
      <c r="MIM15" s="41"/>
      <c r="MIX15" s="41"/>
      <c r="MJI15" s="41"/>
      <c r="MJT15" s="41"/>
      <c r="MKE15" s="41"/>
      <c r="MKP15" s="41"/>
      <c r="MLA15" s="41"/>
      <c r="MLL15" s="41"/>
      <c r="MLW15" s="41"/>
      <c r="MMH15" s="41"/>
      <c r="MMS15" s="41"/>
      <c r="MND15" s="41"/>
      <c r="MNO15" s="41"/>
      <c r="MNZ15" s="41"/>
      <c r="MOK15" s="41"/>
      <c r="MOV15" s="41"/>
      <c r="MPG15" s="41"/>
      <c r="MPR15" s="41"/>
      <c r="MQC15" s="41"/>
      <c r="MQN15" s="41"/>
      <c r="MQY15" s="41"/>
      <c r="MRJ15" s="41"/>
      <c r="MRU15" s="41"/>
      <c r="MSF15" s="41"/>
      <c r="MSQ15" s="41"/>
      <c r="MTB15" s="41"/>
      <c r="MTM15" s="41"/>
      <c r="MTX15" s="41"/>
      <c r="MUI15" s="41"/>
      <c r="MUT15" s="41"/>
      <c r="MVE15" s="41"/>
      <c r="MVP15" s="41"/>
      <c r="MWA15" s="41"/>
      <c r="MWL15" s="41"/>
      <c r="MWW15" s="41"/>
      <c r="MXH15" s="41"/>
      <c r="MXS15" s="41"/>
      <c r="MYD15" s="41"/>
      <c r="MYO15" s="41"/>
      <c r="MYZ15" s="41"/>
      <c r="MZK15" s="41"/>
      <c r="MZV15" s="41"/>
      <c r="NAG15" s="41"/>
      <c r="NAR15" s="41"/>
      <c r="NBC15" s="41"/>
      <c r="NBN15" s="41"/>
      <c r="NBY15" s="41"/>
      <c r="NCJ15" s="41"/>
      <c r="NCU15" s="41"/>
      <c r="NDF15" s="41"/>
      <c r="NDQ15" s="41"/>
      <c r="NEB15" s="41"/>
      <c r="NEM15" s="41"/>
      <c r="NEX15" s="41"/>
      <c r="NFI15" s="41"/>
      <c r="NFT15" s="41"/>
      <c r="NGE15" s="41"/>
      <c r="NGP15" s="41"/>
      <c r="NHA15" s="41"/>
      <c r="NHL15" s="41"/>
      <c r="NHW15" s="41"/>
      <c r="NIH15" s="41"/>
      <c r="NIS15" s="41"/>
      <c r="NJD15" s="41"/>
      <c r="NJO15" s="41"/>
      <c r="NJZ15" s="41"/>
      <c r="NKK15" s="41"/>
      <c r="NKV15" s="41"/>
      <c r="NLG15" s="41"/>
      <c r="NLR15" s="41"/>
      <c r="NMC15" s="41"/>
      <c r="NMN15" s="41"/>
      <c r="NMY15" s="41"/>
      <c r="NNJ15" s="41"/>
      <c r="NNU15" s="41"/>
      <c r="NOF15" s="41"/>
      <c r="NOQ15" s="41"/>
      <c r="NPB15" s="41"/>
      <c r="NPM15" s="41"/>
      <c r="NPX15" s="41"/>
      <c r="NQI15" s="41"/>
      <c r="NQT15" s="41"/>
      <c r="NRE15" s="41"/>
      <c r="NRP15" s="41"/>
      <c r="NSA15" s="41"/>
      <c r="NSL15" s="41"/>
      <c r="NSW15" s="41"/>
      <c r="NTH15" s="41"/>
      <c r="NTS15" s="41"/>
      <c r="NUD15" s="41"/>
      <c r="NUO15" s="41"/>
      <c r="NUZ15" s="41"/>
      <c r="NVK15" s="41"/>
      <c r="NVV15" s="41"/>
      <c r="NWG15" s="41"/>
      <c r="NWR15" s="41"/>
      <c r="NXC15" s="41"/>
      <c r="NXN15" s="41"/>
      <c r="NXY15" s="41"/>
      <c r="NYJ15" s="41"/>
      <c r="NYU15" s="41"/>
      <c r="NZF15" s="41"/>
      <c r="NZQ15" s="41"/>
      <c r="OAB15" s="41"/>
      <c r="OAM15" s="41"/>
      <c r="OAX15" s="41"/>
      <c r="OBI15" s="41"/>
      <c r="OBT15" s="41"/>
      <c r="OCE15" s="41"/>
      <c r="OCP15" s="41"/>
      <c r="ODA15" s="41"/>
      <c r="ODL15" s="41"/>
      <c r="ODW15" s="41"/>
      <c r="OEH15" s="41"/>
      <c r="OES15" s="41"/>
      <c r="OFD15" s="41"/>
      <c r="OFO15" s="41"/>
      <c r="OFZ15" s="41"/>
      <c r="OGK15" s="41"/>
      <c r="OGV15" s="41"/>
      <c r="OHG15" s="41"/>
      <c r="OHR15" s="41"/>
      <c r="OIC15" s="41"/>
      <c r="OIN15" s="41"/>
      <c r="OIY15" s="41"/>
      <c r="OJJ15" s="41"/>
      <c r="OJU15" s="41"/>
      <c r="OKF15" s="41"/>
      <c r="OKQ15" s="41"/>
      <c r="OLB15" s="41"/>
      <c r="OLM15" s="41"/>
      <c r="OLX15" s="41"/>
      <c r="OMI15" s="41"/>
      <c r="OMT15" s="41"/>
      <c r="ONE15" s="41"/>
      <c r="ONP15" s="41"/>
      <c r="OOA15" s="41"/>
      <c r="OOL15" s="41"/>
      <c r="OOW15" s="41"/>
      <c r="OPH15" s="41"/>
      <c r="OPS15" s="41"/>
      <c r="OQD15" s="41"/>
      <c r="OQO15" s="41"/>
      <c r="OQZ15" s="41"/>
      <c r="ORK15" s="41"/>
      <c r="ORV15" s="41"/>
      <c r="OSG15" s="41"/>
      <c r="OSR15" s="41"/>
      <c r="OTC15" s="41"/>
      <c r="OTN15" s="41"/>
      <c r="OTY15" s="41"/>
      <c r="OUJ15" s="41"/>
      <c r="OUU15" s="41"/>
      <c r="OVF15" s="41"/>
      <c r="OVQ15" s="41"/>
      <c r="OWB15" s="41"/>
      <c r="OWM15" s="41"/>
      <c r="OWX15" s="41"/>
      <c r="OXI15" s="41"/>
      <c r="OXT15" s="41"/>
      <c r="OYE15" s="41"/>
      <c r="OYP15" s="41"/>
      <c r="OZA15" s="41"/>
      <c r="OZL15" s="41"/>
      <c r="OZW15" s="41"/>
      <c r="PAH15" s="41"/>
      <c r="PAS15" s="41"/>
      <c r="PBD15" s="41"/>
      <c r="PBO15" s="41"/>
      <c r="PBZ15" s="41"/>
      <c r="PCK15" s="41"/>
      <c r="PCV15" s="41"/>
      <c r="PDG15" s="41"/>
      <c r="PDR15" s="41"/>
      <c r="PEC15" s="41"/>
      <c r="PEN15" s="41"/>
      <c r="PEY15" s="41"/>
      <c r="PFJ15" s="41"/>
      <c r="PFU15" s="41"/>
      <c r="PGF15" s="41"/>
      <c r="PGQ15" s="41"/>
      <c r="PHB15" s="41"/>
      <c r="PHM15" s="41"/>
      <c r="PHX15" s="41"/>
      <c r="PII15" s="41"/>
      <c r="PIT15" s="41"/>
      <c r="PJE15" s="41"/>
      <c r="PJP15" s="41"/>
      <c r="PKA15" s="41"/>
      <c r="PKL15" s="41"/>
      <c r="PKW15" s="41"/>
      <c r="PLH15" s="41"/>
      <c r="PLS15" s="41"/>
      <c r="PMD15" s="41"/>
      <c r="PMO15" s="41"/>
      <c r="PMZ15" s="41"/>
      <c r="PNK15" s="41"/>
      <c r="PNV15" s="41"/>
      <c r="POG15" s="41"/>
      <c r="POR15" s="41"/>
      <c r="PPC15" s="41"/>
      <c r="PPN15" s="41"/>
      <c r="PPY15" s="41"/>
      <c r="PQJ15" s="41"/>
      <c r="PQU15" s="41"/>
      <c r="PRF15" s="41"/>
      <c r="PRQ15" s="41"/>
      <c r="PSB15" s="41"/>
      <c r="PSM15" s="41"/>
      <c r="PSX15" s="41"/>
      <c r="PTI15" s="41"/>
      <c r="PTT15" s="41"/>
      <c r="PUE15" s="41"/>
      <c r="PUP15" s="41"/>
      <c r="PVA15" s="41"/>
      <c r="PVL15" s="41"/>
      <c r="PVW15" s="41"/>
      <c r="PWH15" s="41"/>
      <c r="PWS15" s="41"/>
      <c r="PXD15" s="41"/>
      <c r="PXO15" s="41"/>
      <c r="PXZ15" s="41"/>
      <c r="PYK15" s="41"/>
      <c r="PYV15" s="41"/>
      <c r="PZG15" s="41"/>
      <c r="PZR15" s="41"/>
      <c r="QAC15" s="41"/>
      <c r="QAN15" s="41"/>
      <c r="QAY15" s="41"/>
      <c r="QBJ15" s="41"/>
      <c r="QBU15" s="41"/>
      <c r="QCF15" s="41"/>
      <c r="QCQ15" s="41"/>
      <c r="QDB15" s="41"/>
      <c r="QDM15" s="41"/>
      <c r="QDX15" s="41"/>
      <c r="QEI15" s="41"/>
      <c r="QET15" s="41"/>
      <c r="QFE15" s="41"/>
      <c r="QFP15" s="41"/>
      <c r="QGA15" s="41"/>
      <c r="QGL15" s="41"/>
      <c r="QGW15" s="41"/>
      <c r="QHH15" s="41"/>
      <c r="QHS15" s="41"/>
      <c r="QID15" s="41"/>
      <c r="QIO15" s="41"/>
      <c r="QIZ15" s="41"/>
      <c r="QJK15" s="41"/>
      <c r="QJV15" s="41"/>
      <c r="QKG15" s="41"/>
      <c r="QKR15" s="41"/>
      <c r="QLC15" s="41"/>
      <c r="QLN15" s="41"/>
      <c r="QLY15" s="41"/>
      <c r="QMJ15" s="41"/>
      <c r="QMU15" s="41"/>
      <c r="QNF15" s="41"/>
      <c r="QNQ15" s="41"/>
      <c r="QOB15" s="41"/>
      <c r="QOM15" s="41"/>
      <c r="QOX15" s="41"/>
      <c r="QPI15" s="41"/>
      <c r="QPT15" s="41"/>
      <c r="QQE15" s="41"/>
      <c r="QQP15" s="41"/>
      <c r="QRA15" s="41"/>
      <c r="QRL15" s="41"/>
      <c r="QRW15" s="41"/>
      <c r="QSH15" s="41"/>
      <c r="QSS15" s="41"/>
      <c r="QTD15" s="41"/>
      <c r="QTO15" s="41"/>
      <c r="QTZ15" s="41"/>
      <c r="QUK15" s="41"/>
      <c r="QUV15" s="41"/>
      <c r="QVG15" s="41"/>
      <c r="QVR15" s="41"/>
      <c r="QWC15" s="41"/>
      <c r="QWN15" s="41"/>
      <c r="QWY15" s="41"/>
      <c r="QXJ15" s="41"/>
      <c r="QXU15" s="41"/>
      <c r="QYF15" s="41"/>
      <c r="QYQ15" s="41"/>
      <c r="QZB15" s="41"/>
      <c r="QZM15" s="41"/>
      <c r="QZX15" s="41"/>
      <c r="RAI15" s="41"/>
      <c r="RAT15" s="41"/>
      <c r="RBE15" s="41"/>
      <c r="RBP15" s="41"/>
      <c r="RCA15" s="41"/>
      <c r="RCL15" s="41"/>
      <c r="RCW15" s="41"/>
      <c r="RDH15" s="41"/>
      <c r="RDS15" s="41"/>
      <c r="RED15" s="41"/>
      <c r="REO15" s="41"/>
      <c r="REZ15" s="41"/>
      <c r="RFK15" s="41"/>
      <c r="RFV15" s="41"/>
      <c r="RGG15" s="41"/>
      <c r="RGR15" s="41"/>
      <c r="RHC15" s="41"/>
      <c r="RHN15" s="41"/>
      <c r="RHY15" s="41"/>
      <c r="RIJ15" s="41"/>
      <c r="RIU15" s="41"/>
      <c r="RJF15" s="41"/>
      <c r="RJQ15" s="41"/>
      <c r="RKB15" s="41"/>
      <c r="RKM15" s="41"/>
      <c r="RKX15" s="41"/>
      <c r="RLI15" s="41"/>
      <c r="RLT15" s="41"/>
      <c r="RME15" s="41"/>
      <c r="RMP15" s="41"/>
      <c r="RNA15" s="41"/>
      <c r="RNL15" s="41"/>
      <c r="RNW15" s="41"/>
      <c r="ROH15" s="41"/>
      <c r="ROS15" s="41"/>
      <c r="RPD15" s="41"/>
      <c r="RPO15" s="41"/>
      <c r="RPZ15" s="41"/>
      <c r="RQK15" s="41"/>
      <c r="RQV15" s="41"/>
      <c r="RRG15" s="41"/>
      <c r="RRR15" s="41"/>
      <c r="RSC15" s="41"/>
      <c r="RSN15" s="41"/>
      <c r="RSY15" s="41"/>
      <c r="RTJ15" s="41"/>
      <c r="RTU15" s="41"/>
      <c r="RUF15" s="41"/>
      <c r="RUQ15" s="41"/>
      <c r="RVB15" s="41"/>
      <c r="RVM15" s="41"/>
      <c r="RVX15" s="41"/>
      <c r="RWI15" s="41"/>
      <c r="RWT15" s="41"/>
      <c r="RXE15" s="41"/>
      <c r="RXP15" s="41"/>
      <c r="RYA15" s="41"/>
      <c r="RYL15" s="41"/>
      <c r="RYW15" s="41"/>
      <c r="RZH15" s="41"/>
      <c r="RZS15" s="41"/>
      <c r="SAD15" s="41"/>
      <c r="SAO15" s="41"/>
      <c r="SAZ15" s="41"/>
      <c r="SBK15" s="41"/>
      <c r="SBV15" s="41"/>
      <c r="SCG15" s="41"/>
      <c r="SCR15" s="41"/>
      <c r="SDC15" s="41"/>
      <c r="SDN15" s="41"/>
      <c r="SDY15" s="41"/>
      <c r="SEJ15" s="41"/>
      <c r="SEU15" s="41"/>
      <c r="SFF15" s="41"/>
      <c r="SFQ15" s="41"/>
      <c r="SGB15" s="41"/>
      <c r="SGM15" s="41"/>
      <c r="SGX15" s="41"/>
      <c r="SHI15" s="41"/>
      <c r="SHT15" s="41"/>
      <c r="SIE15" s="41"/>
      <c r="SIP15" s="41"/>
      <c r="SJA15" s="41"/>
      <c r="SJL15" s="41"/>
      <c r="SJW15" s="41"/>
      <c r="SKH15" s="41"/>
      <c r="SKS15" s="41"/>
      <c r="SLD15" s="41"/>
      <c r="SLO15" s="41"/>
      <c r="SLZ15" s="41"/>
      <c r="SMK15" s="41"/>
      <c r="SMV15" s="41"/>
      <c r="SNG15" s="41"/>
      <c r="SNR15" s="41"/>
      <c r="SOC15" s="41"/>
      <c r="SON15" s="41"/>
      <c r="SOY15" s="41"/>
      <c r="SPJ15" s="41"/>
      <c r="SPU15" s="41"/>
      <c r="SQF15" s="41"/>
      <c r="SQQ15" s="41"/>
      <c r="SRB15" s="41"/>
      <c r="SRM15" s="41"/>
      <c r="SRX15" s="41"/>
      <c r="SSI15" s="41"/>
      <c r="SST15" s="41"/>
      <c r="STE15" s="41"/>
      <c r="STP15" s="41"/>
      <c r="SUA15" s="41"/>
      <c r="SUL15" s="41"/>
      <c r="SUW15" s="41"/>
      <c r="SVH15" s="41"/>
      <c r="SVS15" s="41"/>
      <c r="SWD15" s="41"/>
      <c r="SWO15" s="41"/>
      <c r="SWZ15" s="41"/>
      <c r="SXK15" s="41"/>
      <c r="SXV15" s="41"/>
      <c r="SYG15" s="41"/>
      <c r="SYR15" s="41"/>
      <c r="SZC15" s="41"/>
      <c r="SZN15" s="41"/>
      <c r="SZY15" s="41"/>
      <c r="TAJ15" s="41"/>
      <c r="TAU15" s="41"/>
      <c r="TBF15" s="41"/>
      <c r="TBQ15" s="41"/>
      <c r="TCB15" s="41"/>
      <c r="TCM15" s="41"/>
      <c r="TCX15" s="41"/>
      <c r="TDI15" s="41"/>
      <c r="TDT15" s="41"/>
      <c r="TEE15" s="41"/>
      <c r="TEP15" s="41"/>
      <c r="TFA15" s="41"/>
      <c r="TFL15" s="41"/>
      <c r="TFW15" s="41"/>
      <c r="TGH15" s="41"/>
      <c r="TGS15" s="41"/>
      <c r="THD15" s="41"/>
      <c r="THO15" s="41"/>
      <c r="THZ15" s="41"/>
      <c r="TIK15" s="41"/>
      <c r="TIV15" s="41"/>
      <c r="TJG15" s="41"/>
      <c r="TJR15" s="41"/>
      <c r="TKC15" s="41"/>
      <c r="TKN15" s="41"/>
      <c r="TKY15" s="41"/>
      <c r="TLJ15" s="41"/>
      <c r="TLU15" s="41"/>
      <c r="TMF15" s="41"/>
      <c r="TMQ15" s="41"/>
      <c r="TNB15" s="41"/>
      <c r="TNM15" s="41"/>
      <c r="TNX15" s="41"/>
      <c r="TOI15" s="41"/>
      <c r="TOT15" s="41"/>
      <c r="TPE15" s="41"/>
      <c r="TPP15" s="41"/>
      <c r="TQA15" s="41"/>
      <c r="TQL15" s="41"/>
      <c r="TQW15" s="41"/>
      <c r="TRH15" s="41"/>
      <c r="TRS15" s="41"/>
      <c r="TSD15" s="41"/>
      <c r="TSO15" s="41"/>
      <c r="TSZ15" s="41"/>
      <c r="TTK15" s="41"/>
      <c r="TTV15" s="41"/>
      <c r="TUG15" s="41"/>
      <c r="TUR15" s="41"/>
      <c r="TVC15" s="41"/>
      <c r="TVN15" s="41"/>
      <c r="TVY15" s="41"/>
      <c r="TWJ15" s="41"/>
      <c r="TWU15" s="41"/>
      <c r="TXF15" s="41"/>
      <c r="TXQ15" s="41"/>
      <c r="TYB15" s="41"/>
      <c r="TYM15" s="41"/>
      <c r="TYX15" s="41"/>
      <c r="TZI15" s="41"/>
      <c r="TZT15" s="41"/>
      <c r="UAE15" s="41"/>
      <c r="UAP15" s="41"/>
      <c r="UBA15" s="41"/>
      <c r="UBL15" s="41"/>
      <c r="UBW15" s="41"/>
      <c r="UCH15" s="41"/>
      <c r="UCS15" s="41"/>
      <c r="UDD15" s="41"/>
      <c r="UDO15" s="41"/>
      <c r="UDZ15" s="41"/>
      <c r="UEK15" s="41"/>
      <c r="UEV15" s="41"/>
      <c r="UFG15" s="41"/>
      <c r="UFR15" s="41"/>
      <c r="UGC15" s="41"/>
      <c r="UGN15" s="41"/>
      <c r="UGY15" s="41"/>
      <c r="UHJ15" s="41"/>
      <c r="UHU15" s="41"/>
      <c r="UIF15" s="41"/>
      <c r="UIQ15" s="41"/>
      <c r="UJB15" s="41"/>
      <c r="UJM15" s="41"/>
      <c r="UJX15" s="41"/>
      <c r="UKI15" s="41"/>
      <c r="UKT15" s="41"/>
      <c r="ULE15" s="41"/>
      <c r="ULP15" s="41"/>
      <c r="UMA15" s="41"/>
      <c r="UML15" s="41"/>
      <c r="UMW15" s="41"/>
      <c r="UNH15" s="41"/>
      <c r="UNS15" s="41"/>
      <c r="UOD15" s="41"/>
      <c r="UOO15" s="41"/>
      <c r="UOZ15" s="41"/>
      <c r="UPK15" s="41"/>
      <c r="UPV15" s="41"/>
      <c r="UQG15" s="41"/>
      <c r="UQR15" s="41"/>
      <c r="URC15" s="41"/>
      <c r="URN15" s="41"/>
      <c r="URY15" s="41"/>
      <c r="USJ15" s="41"/>
      <c r="USU15" s="41"/>
      <c r="UTF15" s="41"/>
      <c r="UTQ15" s="41"/>
      <c r="UUB15" s="41"/>
      <c r="UUM15" s="41"/>
      <c r="UUX15" s="41"/>
      <c r="UVI15" s="41"/>
      <c r="UVT15" s="41"/>
      <c r="UWE15" s="41"/>
      <c r="UWP15" s="41"/>
      <c r="UXA15" s="41"/>
      <c r="UXL15" s="41"/>
      <c r="UXW15" s="41"/>
      <c r="UYH15" s="41"/>
      <c r="UYS15" s="41"/>
      <c r="UZD15" s="41"/>
      <c r="UZO15" s="41"/>
      <c r="UZZ15" s="41"/>
      <c r="VAK15" s="41"/>
      <c r="VAV15" s="41"/>
      <c r="VBG15" s="41"/>
      <c r="VBR15" s="41"/>
      <c r="VCC15" s="41"/>
      <c r="VCN15" s="41"/>
      <c r="VCY15" s="41"/>
      <c r="VDJ15" s="41"/>
      <c r="VDU15" s="41"/>
      <c r="VEF15" s="41"/>
      <c r="VEQ15" s="41"/>
      <c r="VFB15" s="41"/>
      <c r="VFM15" s="41"/>
      <c r="VFX15" s="41"/>
      <c r="VGI15" s="41"/>
      <c r="VGT15" s="41"/>
      <c r="VHE15" s="41"/>
      <c r="VHP15" s="41"/>
      <c r="VIA15" s="41"/>
      <c r="VIL15" s="41"/>
      <c r="VIW15" s="41"/>
      <c r="VJH15" s="41"/>
      <c r="VJS15" s="41"/>
      <c r="VKD15" s="41"/>
      <c r="VKO15" s="41"/>
      <c r="VKZ15" s="41"/>
      <c r="VLK15" s="41"/>
      <c r="VLV15" s="41"/>
      <c r="VMG15" s="41"/>
      <c r="VMR15" s="41"/>
      <c r="VNC15" s="41"/>
      <c r="VNN15" s="41"/>
      <c r="VNY15" s="41"/>
      <c r="VOJ15" s="41"/>
      <c r="VOU15" s="41"/>
      <c r="VPF15" s="41"/>
      <c r="VPQ15" s="41"/>
      <c r="VQB15" s="41"/>
      <c r="VQM15" s="41"/>
      <c r="VQX15" s="41"/>
      <c r="VRI15" s="41"/>
      <c r="VRT15" s="41"/>
      <c r="VSE15" s="41"/>
      <c r="VSP15" s="41"/>
      <c r="VTA15" s="41"/>
      <c r="VTL15" s="41"/>
      <c r="VTW15" s="41"/>
      <c r="VUH15" s="41"/>
      <c r="VUS15" s="41"/>
      <c r="VVD15" s="41"/>
      <c r="VVO15" s="41"/>
      <c r="VVZ15" s="41"/>
      <c r="VWK15" s="41"/>
      <c r="VWV15" s="41"/>
      <c r="VXG15" s="41"/>
      <c r="VXR15" s="41"/>
      <c r="VYC15" s="41"/>
      <c r="VYN15" s="41"/>
      <c r="VYY15" s="41"/>
      <c r="VZJ15" s="41"/>
      <c r="VZU15" s="41"/>
      <c r="WAF15" s="41"/>
      <c r="WAQ15" s="41"/>
      <c r="WBB15" s="41"/>
      <c r="WBM15" s="41"/>
      <c r="WBX15" s="41"/>
      <c r="WCI15" s="41"/>
      <c r="WCT15" s="41"/>
      <c r="WDE15" s="41"/>
      <c r="WDP15" s="41"/>
      <c r="WEA15" s="41"/>
      <c r="WEL15" s="41"/>
      <c r="WEW15" s="41"/>
      <c r="WFH15" s="41"/>
      <c r="WFS15" s="41"/>
      <c r="WGD15" s="41"/>
      <c r="WGO15" s="41"/>
      <c r="WGZ15" s="41"/>
      <c r="WHK15" s="41"/>
      <c r="WHV15" s="41"/>
      <c r="WIG15" s="41"/>
      <c r="WIR15" s="41"/>
      <c r="WJC15" s="41"/>
      <c r="WJN15" s="41"/>
      <c r="WJY15" s="41"/>
      <c r="WKJ15" s="41"/>
      <c r="WKU15" s="41"/>
      <c r="WLF15" s="41"/>
      <c r="WLQ15" s="41"/>
      <c r="WMB15" s="41"/>
      <c r="WMM15" s="41"/>
      <c r="WMX15" s="41"/>
      <c r="WNI15" s="41"/>
      <c r="WNT15" s="41"/>
      <c r="WOE15" s="41"/>
      <c r="WOP15" s="41"/>
      <c r="WPA15" s="41"/>
      <c r="WPL15" s="41"/>
      <c r="WPW15" s="41"/>
      <c r="WQH15" s="41"/>
      <c r="WQS15" s="41"/>
      <c r="WRD15" s="41"/>
      <c r="WRO15" s="41"/>
      <c r="WRZ15" s="41"/>
      <c r="WSK15" s="41"/>
      <c r="WSV15" s="41"/>
      <c r="WTG15" s="41"/>
      <c r="WTR15" s="41"/>
      <c r="WUC15" s="41"/>
      <c r="WUN15" s="41"/>
      <c r="WUY15" s="41"/>
      <c r="WVJ15" s="41"/>
      <c r="WVU15" s="41"/>
      <c r="WWF15" s="41"/>
      <c r="WWQ15" s="41"/>
      <c r="WXB15" s="41"/>
      <c r="WXM15" s="41"/>
      <c r="WXX15" s="41"/>
      <c r="WYI15" s="41"/>
      <c r="WYT15" s="41"/>
      <c r="WZE15" s="41"/>
      <c r="WZP15" s="41"/>
      <c r="XAA15" s="41"/>
      <c r="XAL15" s="41"/>
      <c r="XAW15" s="41"/>
      <c r="XBH15" s="41"/>
      <c r="XBS15" s="41"/>
      <c r="XCD15" s="41"/>
      <c r="XCO15" s="41"/>
      <c r="XCZ15" s="41"/>
      <c r="XDK15" s="41"/>
      <c r="XDV15" s="41"/>
      <c r="XEG15" s="41"/>
      <c r="XER15" s="41"/>
      <c r="XFC15" s="41"/>
    </row>
    <row r="16" spans="2:1016 1027:2039 2050:3062 3073:4096 4107:5119 5130:6142 6153:7165 7176:8188 8199:9211 9222:10234 10245:11257 11268:12280 12291:13303 13314:14326 14337:15360 15371:16383" ht="3.9" customHeight="1">
      <c r="H16" s="10"/>
      <c r="AA16" t="s">
        <v>108</v>
      </c>
    </row>
    <row r="17" spans="1:1016 1027:2039 2050:3062 3073:4096 4107:5119 5130:6142 6153:7165 7176:8188 8199:9211 9222:10234 10245:11257 11268:12280 12291:13303 13314:14326 14337:15360 15371:16383" s="40" customFormat="1" ht="17.25" customHeight="1">
      <c r="D17" s="40" t="s">
        <v>152</v>
      </c>
      <c r="F17" s="41"/>
      <c r="I17" s="42" t="s">
        <v>10</v>
      </c>
      <c r="Z17" s="41"/>
      <c r="AA17" s="40" t="s">
        <v>109</v>
      </c>
      <c r="AK17" s="41"/>
      <c r="AV17" s="41"/>
      <c r="BG17" s="41"/>
      <c r="BR17" s="41"/>
      <c r="CC17" s="41"/>
      <c r="CN17" s="41"/>
      <c r="CY17" s="41"/>
      <c r="DJ17" s="41"/>
      <c r="DU17" s="41"/>
      <c r="EF17" s="41"/>
      <c r="EQ17" s="41"/>
      <c r="FB17" s="41"/>
      <c r="FM17" s="41"/>
      <c r="FX17" s="41"/>
      <c r="GI17" s="41"/>
      <c r="GT17" s="41"/>
      <c r="HE17" s="41"/>
      <c r="HP17" s="41"/>
      <c r="IA17" s="41"/>
      <c r="IL17" s="41"/>
      <c r="IW17" s="41"/>
      <c r="JH17" s="41"/>
      <c r="JS17" s="41"/>
      <c r="KD17" s="41"/>
      <c r="KO17" s="41"/>
      <c r="KZ17" s="41"/>
      <c r="LK17" s="41"/>
      <c r="LV17" s="41"/>
      <c r="MG17" s="41"/>
      <c r="MR17" s="41"/>
      <c r="NC17" s="41"/>
      <c r="NN17" s="41"/>
      <c r="NY17" s="41"/>
      <c r="OJ17" s="41"/>
      <c r="OU17" s="41"/>
      <c r="PF17" s="41"/>
      <c r="PQ17" s="41"/>
      <c r="QB17" s="41"/>
      <c r="QM17" s="41"/>
      <c r="QX17" s="41"/>
      <c r="RI17" s="41"/>
      <c r="RT17" s="41"/>
      <c r="SE17" s="41"/>
      <c r="SP17" s="41"/>
      <c r="TA17" s="41"/>
      <c r="TL17" s="41"/>
      <c r="TW17" s="41"/>
      <c r="UH17" s="41"/>
      <c r="US17" s="41"/>
      <c r="VD17" s="41"/>
      <c r="VO17" s="41"/>
      <c r="VZ17" s="41"/>
      <c r="WK17" s="41"/>
      <c r="WV17" s="41"/>
      <c r="XG17" s="41"/>
      <c r="XR17" s="41"/>
      <c r="YC17" s="41"/>
      <c r="YN17" s="41"/>
      <c r="YY17" s="41"/>
      <c r="ZJ17" s="41"/>
      <c r="ZU17" s="41"/>
      <c r="AAF17" s="41"/>
      <c r="AAQ17" s="41"/>
      <c r="ABB17" s="41"/>
      <c r="ABM17" s="41"/>
      <c r="ABX17" s="41"/>
      <c r="ACI17" s="41"/>
      <c r="ACT17" s="41"/>
      <c r="ADE17" s="41"/>
      <c r="ADP17" s="41"/>
      <c r="AEA17" s="41"/>
      <c r="AEL17" s="41"/>
      <c r="AEW17" s="41"/>
      <c r="AFH17" s="41"/>
      <c r="AFS17" s="41"/>
      <c r="AGD17" s="41"/>
      <c r="AGO17" s="41"/>
      <c r="AGZ17" s="41"/>
      <c r="AHK17" s="41"/>
      <c r="AHV17" s="41"/>
      <c r="AIG17" s="41"/>
      <c r="AIR17" s="41"/>
      <c r="AJC17" s="41"/>
      <c r="AJN17" s="41"/>
      <c r="AJY17" s="41"/>
      <c r="AKJ17" s="41"/>
      <c r="AKU17" s="41"/>
      <c r="ALF17" s="41"/>
      <c r="ALQ17" s="41"/>
      <c r="AMB17" s="41"/>
      <c r="AMM17" s="41"/>
      <c r="AMX17" s="41"/>
      <c r="ANI17" s="41"/>
      <c r="ANT17" s="41"/>
      <c r="AOE17" s="41"/>
      <c r="AOP17" s="41"/>
      <c r="APA17" s="41"/>
      <c r="APL17" s="41"/>
      <c r="APW17" s="41"/>
      <c r="AQH17" s="41"/>
      <c r="AQS17" s="41"/>
      <c r="ARD17" s="41"/>
      <c r="ARO17" s="41"/>
      <c r="ARZ17" s="41"/>
      <c r="ASK17" s="41"/>
      <c r="ASV17" s="41"/>
      <c r="ATG17" s="41"/>
      <c r="ATR17" s="41"/>
      <c r="AUC17" s="41"/>
      <c r="AUN17" s="41"/>
      <c r="AUY17" s="41"/>
      <c r="AVJ17" s="41"/>
      <c r="AVU17" s="41"/>
      <c r="AWF17" s="41"/>
      <c r="AWQ17" s="41"/>
      <c r="AXB17" s="41"/>
      <c r="AXM17" s="41"/>
      <c r="AXX17" s="41"/>
      <c r="AYI17" s="41"/>
      <c r="AYT17" s="41"/>
      <c r="AZE17" s="41"/>
      <c r="AZP17" s="41"/>
      <c r="BAA17" s="41"/>
      <c r="BAL17" s="41"/>
      <c r="BAW17" s="41"/>
      <c r="BBH17" s="41"/>
      <c r="BBS17" s="41"/>
      <c r="BCD17" s="41"/>
      <c r="BCO17" s="41"/>
      <c r="BCZ17" s="41"/>
      <c r="BDK17" s="41"/>
      <c r="BDV17" s="41"/>
      <c r="BEG17" s="41"/>
      <c r="BER17" s="41"/>
      <c r="BFC17" s="41"/>
      <c r="BFN17" s="41"/>
      <c r="BFY17" s="41"/>
      <c r="BGJ17" s="41"/>
      <c r="BGU17" s="41"/>
      <c r="BHF17" s="41"/>
      <c r="BHQ17" s="41"/>
      <c r="BIB17" s="41"/>
      <c r="BIM17" s="41"/>
      <c r="BIX17" s="41"/>
      <c r="BJI17" s="41"/>
      <c r="BJT17" s="41"/>
      <c r="BKE17" s="41"/>
      <c r="BKP17" s="41"/>
      <c r="BLA17" s="41"/>
      <c r="BLL17" s="41"/>
      <c r="BLW17" s="41"/>
      <c r="BMH17" s="41"/>
      <c r="BMS17" s="41"/>
      <c r="BND17" s="41"/>
      <c r="BNO17" s="41"/>
      <c r="BNZ17" s="41"/>
      <c r="BOK17" s="41"/>
      <c r="BOV17" s="41"/>
      <c r="BPG17" s="41"/>
      <c r="BPR17" s="41"/>
      <c r="BQC17" s="41"/>
      <c r="BQN17" s="41"/>
      <c r="BQY17" s="41"/>
      <c r="BRJ17" s="41"/>
      <c r="BRU17" s="41"/>
      <c r="BSF17" s="41"/>
      <c r="BSQ17" s="41"/>
      <c r="BTB17" s="41"/>
      <c r="BTM17" s="41"/>
      <c r="BTX17" s="41"/>
      <c r="BUI17" s="41"/>
      <c r="BUT17" s="41"/>
      <c r="BVE17" s="41"/>
      <c r="BVP17" s="41"/>
      <c r="BWA17" s="41"/>
      <c r="BWL17" s="41"/>
      <c r="BWW17" s="41"/>
      <c r="BXH17" s="41"/>
      <c r="BXS17" s="41"/>
      <c r="BYD17" s="41"/>
      <c r="BYO17" s="41"/>
      <c r="BYZ17" s="41"/>
      <c r="BZK17" s="41"/>
      <c r="BZV17" s="41"/>
      <c r="CAG17" s="41"/>
      <c r="CAR17" s="41"/>
      <c r="CBC17" s="41"/>
      <c r="CBN17" s="41"/>
      <c r="CBY17" s="41"/>
      <c r="CCJ17" s="41"/>
      <c r="CCU17" s="41"/>
      <c r="CDF17" s="41"/>
      <c r="CDQ17" s="41"/>
      <c r="CEB17" s="41"/>
      <c r="CEM17" s="41"/>
      <c r="CEX17" s="41"/>
      <c r="CFI17" s="41"/>
      <c r="CFT17" s="41"/>
      <c r="CGE17" s="41"/>
      <c r="CGP17" s="41"/>
      <c r="CHA17" s="41"/>
      <c r="CHL17" s="41"/>
      <c r="CHW17" s="41"/>
      <c r="CIH17" s="41"/>
      <c r="CIS17" s="41"/>
      <c r="CJD17" s="41"/>
      <c r="CJO17" s="41"/>
      <c r="CJZ17" s="41"/>
      <c r="CKK17" s="41"/>
      <c r="CKV17" s="41"/>
      <c r="CLG17" s="41"/>
      <c r="CLR17" s="41"/>
      <c r="CMC17" s="41"/>
      <c r="CMN17" s="41"/>
      <c r="CMY17" s="41"/>
      <c r="CNJ17" s="41"/>
      <c r="CNU17" s="41"/>
      <c r="COF17" s="41"/>
      <c r="COQ17" s="41"/>
      <c r="CPB17" s="41"/>
      <c r="CPM17" s="41"/>
      <c r="CPX17" s="41"/>
      <c r="CQI17" s="41"/>
      <c r="CQT17" s="41"/>
      <c r="CRE17" s="41"/>
      <c r="CRP17" s="41"/>
      <c r="CSA17" s="41"/>
      <c r="CSL17" s="41"/>
      <c r="CSW17" s="41"/>
      <c r="CTH17" s="41"/>
      <c r="CTS17" s="41"/>
      <c r="CUD17" s="41"/>
      <c r="CUO17" s="41"/>
      <c r="CUZ17" s="41"/>
      <c r="CVK17" s="41"/>
      <c r="CVV17" s="41"/>
      <c r="CWG17" s="41"/>
      <c r="CWR17" s="41"/>
      <c r="CXC17" s="41"/>
      <c r="CXN17" s="41"/>
      <c r="CXY17" s="41"/>
      <c r="CYJ17" s="41"/>
      <c r="CYU17" s="41"/>
      <c r="CZF17" s="41"/>
      <c r="CZQ17" s="41"/>
      <c r="DAB17" s="41"/>
      <c r="DAM17" s="41"/>
      <c r="DAX17" s="41"/>
      <c r="DBI17" s="41"/>
      <c r="DBT17" s="41"/>
      <c r="DCE17" s="41"/>
      <c r="DCP17" s="41"/>
      <c r="DDA17" s="41"/>
      <c r="DDL17" s="41"/>
      <c r="DDW17" s="41"/>
      <c r="DEH17" s="41"/>
      <c r="DES17" s="41"/>
      <c r="DFD17" s="41"/>
      <c r="DFO17" s="41"/>
      <c r="DFZ17" s="41"/>
      <c r="DGK17" s="41"/>
      <c r="DGV17" s="41"/>
      <c r="DHG17" s="41"/>
      <c r="DHR17" s="41"/>
      <c r="DIC17" s="41"/>
      <c r="DIN17" s="41"/>
      <c r="DIY17" s="41"/>
      <c r="DJJ17" s="41"/>
      <c r="DJU17" s="41"/>
      <c r="DKF17" s="41"/>
      <c r="DKQ17" s="41"/>
      <c r="DLB17" s="41"/>
      <c r="DLM17" s="41"/>
      <c r="DLX17" s="41"/>
      <c r="DMI17" s="41"/>
      <c r="DMT17" s="41"/>
      <c r="DNE17" s="41"/>
      <c r="DNP17" s="41"/>
      <c r="DOA17" s="41"/>
      <c r="DOL17" s="41"/>
      <c r="DOW17" s="41"/>
      <c r="DPH17" s="41"/>
      <c r="DPS17" s="41"/>
      <c r="DQD17" s="41"/>
      <c r="DQO17" s="41"/>
      <c r="DQZ17" s="41"/>
      <c r="DRK17" s="41"/>
      <c r="DRV17" s="41"/>
      <c r="DSG17" s="41"/>
      <c r="DSR17" s="41"/>
      <c r="DTC17" s="41"/>
      <c r="DTN17" s="41"/>
      <c r="DTY17" s="41"/>
      <c r="DUJ17" s="41"/>
      <c r="DUU17" s="41"/>
      <c r="DVF17" s="41"/>
      <c r="DVQ17" s="41"/>
      <c r="DWB17" s="41"/>
      <c r="DWM17" s="41"/>
      <c r="DWX17" s="41"/>
      <c r="DXI17" s="41"/>
      <c r="DXT17" s="41"/>
      <c r="DYE17" s="41"/>
      <c r="DYP17" s="41"/>
      <c r="DZA17" s="41"/>
      <c r="DZL17" s="41"/>
      <c r="DZW17" s="41"/>
      <c r="EAH17" s="41"/>
      <c r="EAS17" s="41"/>
      <c r="EBD17" s="41"/>
      <c r="EBO17" s="41"/>
      <c r="EBZ17" s="41"/>
      <c r="ECK17" s="41"/>
      <c r="ECV17" s="41"/>
      <c r="EDG17" s="41"/>
      <c r="EDR17" s="41"/>
      <c r="EEC17" s="41"/>
      <c r="EEN17" s="41"/>
      <c r="EEY17" s="41"/>
      <c r="EFJ17" s="41"/>
      <c r="EFU17" s="41"/>
      <c r="EGF17" s="41"/>
      <c r="EGQ17" s="41"/>
      <c r="EHB17" s="41"/>
      <c r="EHM17" s="41"/>
      <c r="EHX17" s="41"/>
      <c r="EII17" s="41"/>
      <c r="EIT17" s="41"/>
      <c r="EJE17" s="41"/>
      <c r="EJP17" s="41"/>
      <c r="EKA17" s="41"/>
      <c r="EKL17" s="41"/>
      <c r="EKW17" s="41"/>
      <c r="ELH17" s="41"/>
      <c r="ELS17" s="41"/>
      <c r="EMD17" s="41"/>
      <c r="EMO17" s="41"/>
      <c r="EMZ17" s="41"/>
      <c r="ENK17" s="41"/>
      <c r="ENV17" s="41"/>
      <c r="EOG17" s="41"/>
      <c r="EOR17" s="41"/>
      <c r="EPC17" s="41"/>
      <c r="EPN17" s="41"/>
      <c r="EPY17" s="41"/>
      <c r="EQJ17" s="41"/>
      <c r="EQU17" s="41"/>
      <c r="ERF17" s="41"/>
      <c r="ERQ17" s="41"/>
      <c r="ESB17" s="41"/>
      <c r="ESM17" s="41"/>
      <c r="ESX17" s="41"/>
      <c r="ETI17" s="41"/>
      <c r="ETT17" s="41"/>
      <c r="EUE17" s="41"/>
      <c r="EUP17" s="41"/>
      <c r="EVA17" s="41"/>
      <c r="EVL17" s="41"/>
      <c r="EVW17" s="41"/>
      <c r="EWH17" s="41"/>
      <c r="EWS17" s="41"/>
      <c r="EXD17" s="41"/>
      <c r="EXO17" s="41"/>
      <c r="EXZ17" s="41"/>
      <c r="EYK17" s="41"/>
      <c r="EYV17" s="41"/>
      <c r="EZG17" s="41"/>
      <c r="EZR17" s="41"/>
      <c r="FAC17" s="41"/>
      <c r="FAN17" s="41"/>
      <c r="FAY17" s="41"/>
      <c r="FBJ17" s="41"/>
      <c r="FBU17" s="41"/>
      <c r="FCF17" s="41"/>
      <c r="FCQ17" s="41"/>
      <c r="FDB17" s="41"/>
      <c r="FDM17" s="41"/>
      <c r="FDX17" s="41"/>
      <c r="FEI17" s="41"/>
      <c r="FET17" s="41"/>
      <c r="FFE17" s="41"/>
      <c r="FFP17" s="41"/>
      <c r="FGA17" s="41"/>
      <c r="FGL17" s="41"/>
      <c r="FGW17" s="41"/>
      <c r="FHH17" s="41"/>
      <c r="FHS17" s="41"/>
      <c r="FID17" s="41"/>
      <c r="FIO17" s="41"/>
      <c r="FIZ17" s="41"/>
      <c r="FJK17" s="41"/>
      <c r="FJV17" s="41"/>
      <c r="FKG17" s="41"/>
      <c r="FKR17" s="41"/>
      <c r="FLC17" s="41"/>
      <c r="FLN17" s="41"/>
      <c r="FLY17" s="41"/>
      <c r="FMJ17" s="41"/>
      <c r="FMU17" s="41"/>
      <c r="FNF17" s="41"/>
      <c r="FNQ17" s="41"/>
      <c r="FOB17" s="41"/>
      <c r="FOM17" s="41"/>
      <c r="FOX17" s="41"/>
      <c r="FPI17" s="41"/>
      <c r="FPT17" s="41"/>
      <c r="FQE17" s="41"/>
      <c r="FQP17" s="41"/>
      <c r="FRA17" s="41"/>
      <c r="FRL17" s="41"/>
      <c r="FRW17" s="41"/>
      <c r="FSH17" s="41"/>
      <c r="FSS17" s="41"/>
      <c r="FTD17" s="41"/>
      <c r="FTO17" s="41"/>
      <c r="FTZ17" s="41"/>
      <c r="FUK17" s="41"/>
      <c r="FUV17" s="41"/>
      <c r="FVG17" s="41"/>
      <c r="FVR17" s="41"/>
      <c r="FWC17" s="41"/>
      <c r="FWN17" s="41"/>
      <c r="FWY17" s="41"/>
      <c r="FXJ17" s="41"/>
      <c r="FXU17" s="41"/>
      <c r="FYF17" s="41"/>
      <c r="FYQ17" s="41"/>
      <c r="FZB17" s="41"/>
      <c r="FZM17" s="41"/>
      <c r="FZX17" s="41"/>
      <c r="GAI17" s="41"/>
      <c r="GAT17" s="41"/>
      <c r="GBE17" s="41"/>
      <c r="GBP17" s="41"/>
      <c r="GCA17" s="41"/>
      <c r="GCL17" s="41"/>
      <c r="GCW17" s="41"/>
      <c r="GDH17" s="41"/>
      <c r="GDS17" s="41"/>
      <c r="GED17" s="41"/>
      <c r="GEO17" s="41"/>
      <c r="GEZ17" s="41"/>
      <c r="GFK17" s="41"/>
      <c r="GFV17" s="41"/>
      <c r="GGG17" s="41"/>
      <c r="GGR17" s="41"/>
      <c r="GHC17" s="41"/>
      <c r="GHN17" s="41"/>
      <c r="GHY17" s="41"/>
      <c r="GIJ17" s="41"/>
      <c r="GIU17" s="41"/>
      <c r="GJF17" s="41"/>
      <c r="GJQ17" s="41"/>
      <c r="GKB17" s="41"/>
      <c r="GKM17" s="41"/>
      <c r="GKX17" s="41"/>
      <c r="GLI17" s="41"/>
      <c r="GLT17" s="41"/>
      <c r="GME17" s="41"/>
      <c r="GMP17" s="41"/>
      <c r="GNA17" s="41"/>
      <c r="GNL17" s="41"/>
      <c r="GNW17" s="41"/>
      <c r="GOH17" s="41"/>
      <c r="GOS17" s="41"/>
      <c r="GPD17" s="41"/>
      <c r="GPO17" s="41"/>
      <c r="GPZ17" s="41"/>
      <c r="GQK17" s="41"/>
      <c r="GQV17" s="41"/>
      <c r="GRG17" s="41"/>
      <c r="GRR17" s="41"/>
      <c r="GSC17" s="41"/>
      <c r="GSN17" s="41"/>
      <c r="GSY17" s="41"/>
      <c r="GTJ17" s="41"/>
      <c r="GTU17" s="41"/>
      <c r="GUF17" s="41"/>
      <c r="GUQ17" s="41"/>
      <c r="GVB17" s="41"/>
      <c r="GVM17" s="41"/>
      <c r="GVX17" s="41"/>
      <c r="GWI17" s="41"/>
      <c r="GWT17" s="41"/>
      <c r="GXE17" s="41"/>
      <c r="GXP17" s="41"/>
      <c r="GYA17" s="41"/>
      <c r="GYL17" s="41"/>
      <c r="GYW17" s="41"/>
      <c r="GZH17" s="41"/>
      <c r="GZS17" s="41"/>
      <c r="HAD17" s="41"/>
      <c r="HAO17" s="41"/>
      <c r="HAZ17" s="41"/>
      <c r="HBK17" s="41"/>
      <c r="HBV17" s="41"/>
      <c r="HCG17" s="41"/>
      <c r="HCR17" s="41"/>
      <c r="HDC17" s="41"/>
      <c r="HDN17" s="41"/>
      <c r="HDY17" s="41"/>
      <c r="HEJ17" s="41"/>
      <c r="HEU17" s="41"/>
      <c r="HFF17" s="41"/>
      <c r="HFQ17" s="41"/>
      <c r="HGB17" s="41"/>
      <c r="HGM17" s="41"/>
      <c r="HGX17" s="41"/>
      <c r="HHI17" s="41"/>
      <c r="HHT17" s="41"/>
      <c r="HIE17" s="41"/>
      <c r="HIP17" s="41"/>
      <c r="HJA17" s="41"/>
      <c r="HJL17" s="41"/>
      <c r="HJW17" s="41"/>
      <c r="HKH17" s="41"/>
      <c r="HKS17" s="41"/>
      <c r="HLD17" s="41"/>
      <c r="HLO17" s="41"/>
      <c r="HLZ17" s="41"/>
      <c r="HMK17" s="41"/>
      <c r="HMV17" s="41"/>
      <c r="HNG17" s="41"/>
      <c r="HNR17" s="41"/>
      <c r="HOC17" s="41"/>
      <c r="HON17" s="41"/>
      <c r="HOY17" s="41"/>
      <c r="HPJ17" s="41"/>
      <c r="HPU17" s="41"/>
      <c r="HQF17" s="41"/>
      <c r="HQQ17" s="41"/>
      <c r="HRB17" s="41"/>
      <c r="HRM17" s="41"/>
      <c r="HRX17" s="41"/>
      <c r="HSI17" s="41"/>
      <c r="HST17" s="41"/>
      <c r="HTE17" s="41"/>
      <c r="HTP17" s="41"/>
      <c r="HUA17" s="41"/>
      <c r="HUL17" s="41"/>
      <c r="HUW17" s="41"/>
      <c r="HVH17" s="41"/>
      <c r="HVS17" s="41"/>
      <c r="HWD17" s="41"/>
      <c r="HWO17" s="41"/>
      <c r="HWZ17" s="41"/>
      <c r="HXK17" s="41"/>
      <c r="HXV17" s="41"/>
      <c r="HYG17" s="41"/>
      <c r="HYR17" s="41"/>
      <c r="HZC17" s="41"/>
      <c r="HZN17" s="41"/>
      <c r="HZY17" s="41"/>
      <c r="IAJ17" s="41"/>
      <c r="IAU17" s="41"/>
      <c r="IBF17" s="41"/>
      <c r="IBQ17" s="41"/>
      <c r="ICB17" s="41"/>
      <c r="ICM17" s="41"/>
      <c r="ICX17" s="41"/>
      <c r="IDI17" s="41"/>
      <c r="IDT17" s="41"/>
      <c r="IEE17" s="41"/>
      <c r="IEP17" s="41"/>
      <c r="IFA17" s="41"/>
      <c r="IFL17" s="41"/>
      <c r="IFW17" s="41"/>
      <c r="IGH17" s="41"/>
      <c r="IGS17" s="41"/>
      <c r="IHD17" s="41"/>
      <c r="IHO17" s="41"/>
      <c r="IHZ17" s="41"/>
      <c r="IIK17" s="41"/>
      <c r="IIV17" s="41"/>
      <c r="IJG17" s="41"/>
      <c r="IJR17" s="41"/>
      <c r="IKC17" s="41"/>
      <c r="IKN17" s="41"/>
      <c r="IKY17" s="41"/>
      <c r="ILJ17" s="41"/>
      <c r="ILU17" s="41"/>
      <c r="IMF17" s="41"/>
      <c r="IMQ17" s="41"/>
      <c r="INB17" s="41"/>
      <c r="INM17" s="41"/>
      <c r="INX17" s="41"/>
      <c r="IOI17" s="41"/>
      <c r="IOT17" s="41"/>
      <c r="IPE17" s="41"/>
      <c r="IPP17" s="41"/>
      <c r="IQA17" s="41"/>
      <c r="IQL17" s="41"/>
      <c r="IQW17" s="41"/>
      <c r="IRH17" s="41"/>
      <c r="IRS17" s="41"/>
      <c r="ISD17" s="41"/>
      <c r="ISO17" s="41"/>
      <c r="ISZ17" s="41"/>
      <c r="ITK17" s="41"/>
      <c r="ITV17" s="41"/>
      <c r="IUG17" s="41"/>
      <c r="IUR17" s="41"/>
      <c r="IVC17" s="41"/>
      <c r="IVN17" s="41"/>
      <c r="IVY17" s="41"/>
      <c r="IWJ17" s="41"/>
      <c r="IWU17" s="41"/>
      <c r="IXF17" s="41"/>
      <c r="IXQ17" s="41"/>
      <c r="IYB17" s="41"/>
      <c r="IYM17" s="41"/>
      <c r="IYX17" s="41"/>
      <c r="IZI17" s="41"/>
      <c r="IZT17" s="41"/>
      <c r="JAE17" s="41"/>
      <c r="JAP17" s="41"/>
      <c r="JBA17" s="41"/>
      <c r="JBL17" s="41"/>
      <c r="JBW17" s="41"/>
      <c r="JCH17" s="41"/>
      <c r="JCS17" s="41"/>
      <c r="JDD17" s="41"/>
      <c r="JDO17" s="41"/>
      <c r="JDZ17" s="41"/>
      <c r="JEK17" s="41"/>
      <c r="JEV17" s="41"/>
      <c r="JFG17" s="41"/>
      <c r="JFR17" s="41"/>
      <c r="JGC17" s="41"/>
      <c r="JGN17" s="41"/>
      <c r="JGY17" s="41"/>
      <c r="JHJ17" s="41"/>
      <c r="JHU17" s="41"/>
      <c r="JIF17" s="41"/>
      <c r="JIQ17" s="41"/>
      <c r="JJB17" s="41"/>
      <c r="JJM17" s="41"/>
      <c r="JJX17" s="41"/>
      <c r="JKI17" s="41"/>
      <c r="JKT17" s="41"/>
      <c r="JLE17" s="41"/>
      <c r="JLP17" s="41"/>
      <c r="JMA17" s="41"/>
      <c r="JML17" s="41"/>
      <c r="JMW17" s="41"/>
      <c r="JNH17" s="41"/>
      <c r="JNS17" s="41"/>
      <c r="JOD17" s="41"/>
      <c r="JOO17" s="41"/>
      <c r="JOZ17" s="41"/>
      <c r="JPK17" s="41"/>
      <c r="JPV17" s="41"/>
      <c r="JQG17" s="41"/>
      <c r="JQR17" s="41"/>
      <c r="JRC17" s="41"/>
      <c r="JRN17" s="41"/>
      <c r="JRY17" s="41"/>
      <c r="JSJ17" s="41"/>
      <c r="JSU17" s="41"/>
      <c r="JTF17" s="41"/>
      <c r="JTQ17" s="41"/>
      <c r="JUB17" s="41"/>
      <c r="JUM17" s="41"/>
      <c r="JUX17" s="41"/>
      <c r="JVI17" s="41"/>
      <c r="JVT17" s="41"/>
      <c r="JWE17" s="41"/>
      <c r="JWP17" s="41"/>
      <c r="JXA17" s="41"/>
      <c r="JXL17" s="41"/>
      <c r="JXW17" s="41"/>
      <c r="JYH17" s="41"/>
      <c r="JYS17" s="41"/>
      <c r="JZD17" s="41"/>
      <c r="JZO17" s="41"/>
      <c r="JZZ17" s="41"/>
      <c r="KAK17" s="41"/>
      <c r="KAV17" s="41"/>
      <c r="KBG17" s="41"/>
      <c r="KBR17" s="41"/>
      <c r="KCC17" s="41"/>
      <c r="KCN17" s="41"/>
      <c r="KCY17" s="41"/>
      <c r="KDJ17" s="41"/>
      <c r="KDU17" s="41"/>
      <c r="KEF17" s="41"/>
      <c r="KEQ17" s="41"/>
      <c r="KFB17" s="41"/>
      <c r="KFM17" s="41"/>
      <c r="KFX17" s="41"/>
      <c r="KGI17" s="41"/>
      <c r="KGT17" s="41"/>
      <c r="KHE17" s="41"/>
      <c r="KHP17" s="41"/>
      <c r="KIA17" s="41"/>
      <c r="KIL17" s="41"/>
      <c r="KIW17" s="41"/>
      <c r="KJH17" s="41"/>
      <c r="KJS17" s="41"/>
      <c r="KKD17" s="41"/>
      <c r="KKO17" s="41"/>
      <c r="KKZ17" s="41"/>
      <c r="KLK17" s="41"/>
      <c r="KLV17" s="41"/>
      <c r="KMG17" s="41"/>
      <c r="KMR17" s="41"/>
      <c r="KNC17" s="41"/>
      <c r="KNN17" s="41"/>
      <c r="KNY17" s="41"/>
      <c r="KOJ17" s="41"/>
      <c r="KOU17" s="41"/>
      <c r="KPF17" s="41"/>
      <c r="KPQ17" s="41"/>
      <c r="KQB17" s="41"/>
      <c r="KQM17" s="41"/>
      <c r="KQX17" s="41"/>
      <c r="KRI17" s="41"/>
      <c r="KRT17" s="41"/>
      <c r="KSE17" s="41"/>
      <c r="KSP17" s="41"/>
      <c r="KTA17" s="41"/>
      <c r="KTL17" s="41"/>
      <c r="KTW17" s="41"/>
      <c r="KUH17" s="41"/>
      <c r="KUS17" s="41"/>
      <c r="KVD17" s="41"/>
      <c r="KVO17" s="41"/>
      <c r="KVZ17" s="41"/>
      <c r="KWK17" s="41"/>
      <c r="KWV17" s="41"/>
      <c r="KXG17" s="41"/>
      <c r="KXR17" s="41"/>
      <c r="KYC17" s="41"/>
      <c r="KYN17" s="41"/>
      <c r="KYY17" s="41"/>
      <c r="KZJ17" s="41"/>
      <c r="KZU17" s="41"/>
      <c r="LAF17" s="41"/>
      <c r="LAQ17" s="41"/>
      <c r="LBB17" s="41"/>
      <c r="LBM17" s="41"/>
      <c r="LBX17" s="41"/>
      <c r="LCI17" s="41"/>
      <c r="LCT17" s="41"/>
      <c r="LDE17" s="41"/>
      <c r="LDP17" s="41"/>
      <c r="LEA17" s="41"/>
      <c r="LEL17" s="41"/>
      <c r="LEW17" s="41"/>
      <c r="LFH17" s="41"/>
      <c r="LFS17" s="41"/>
      <c r="LGD17" s="41"/>
      <c r="LGO17" s="41"/>
      <c r="LGZ17" s="41"/>
      <c r="LHK17" s="41"/>
      <c r="LHV17" s="41"/>
      <c r="LIG17" s="41"/>
      <c r="LIR17" s="41"/>
      <c r="LJC17" s="41"/>
      <c r="LJN17" s="41"/>
      <c r="LJY17" s="41"/>
      <c r="LKJ17" s="41"/>
      <c r="LKU17" s="41"/>
      <c r="LLF17" s="41"/>
      <c r="LLQ17" s="41"/>
      <c r="LMB17" s="41"/>
      <c r="LMM17" s="41"/>
      <c r="LMX17" s="41"/>
      <c r="LNI17" s="41"/>
      <c r="LNT17" s="41"/>
      <c r="LOE17" s="41"/>
      <c r="LOP17" s="41"/>
      <c r="LPA17" s="41"/>
      <c r="LPL17" s="41"/>
      <c r="LPW17" s="41"/>
      <c r="LQH17" s="41"/>
      <c r="LQS17" s="41"/>
      <c r="LRD17" s="41"/>
      <c r="LRO17" s="41"/>
      <c r="LRZ17" s="41"/>
      <c r="LSK17" s="41"/>
      <c r="LSV17" s="41"/>
      <c r="LTG17" s="41"/>
      <c r="LTR17" s="41"/>
      <c r="LUC17" s="41"/>
      <c r="LUN17" s="41"/>
      <c r="LUY17" s="41"/>
      <c r="LVJ17" s="41"/>
      <c r="LVU17" s="41"/>
      <c r="LWF17" s="41"/>
      <c r="LWQ17" s="41"/>
      <c r="LXB17" s="41"/>
      <c r="LXM17" s="41"/>
      <c r="LXX17" s="41"/>
      <c r="LYI17" s="41"/>
      <c r="LYT17" s="41"/>
      <c r="LZE17" s="41"/>
      <c r="LZP17" s="41"/>
      <c r="MAA17" s="41"/>
      <c r="MAL17" s="41"/>
      <c r="MAW17" s="41"/>
      <c r="MBH17" s="41"/>
      <c r="MBS17" s="41"/>
      <c r="MCD17" s="41"/>
      <c r="MCO17" s="41"/>
      <c r="MCZ17" s="41"/>
      <c r="MDK17" s="41"/>
      <c r="MDV17" s="41"/>
      <c r="MEG17" s="41"/>
      <c r="MER17" s="41"/>
      <c r="MFC17" s="41"/>
      <c r="MFN17" s="41"/>
      <c r="MFY17" s="41"/>
      <c r="MGJ17" s="41"/>
      <c r="MGU17" s="41"/>
      <c r="MHF17" s="41"/>
      <c r="MHQ17" s="41"/>
      <c r="MIB17" s="41"/>
      <c r="MIM17" s="41"/>
      <c r="MIX17" s="41"/>
      <c r="MJI17" s="41"/>
      <c r="MJT17" s="41"/>
      <c r="MKE17" s="41"/>
      <c r="MKP17" s="41"/>
      <c r="MLA17" s="41"/>
      <c r="MLL17" s="41"/>
      <c r="MLW17" s="41"/>
      <c r="MMH17" s="41"/>
      <c r="MMS17" s="41"/>
      <c r="MND17" s="41"/>
      <c r="MNO17" s="41"/>
      <c r="MNZ17" s="41"/>
      <c r="MOK17" s="41"/>
      <c r="MOV17" s="41"/>
      <c r="MPG17" s="41"/>
      <c r="MPR17" s="41"/>
      <c r="MQC17" s="41"/>
      <c r="MQN17" s="41"/>
      <c r="MQY17" s="41"/>
      <c r="MRJ17" s="41"/>
      <c r="MRU17" s="41"/>
      <c r="MSF17" s="41"/>
      <c r="MSQ17" s="41"/>
      <c r="MTB17" s="41"/>
      <c r="MTM17" s="41"/>
      <c r="MTX17" s="41"/>
      <c r="MUI17" s="41"/>
      <c r="MUT17" s="41"/>
      <c r="MVE17" s="41"/>
      <c r="MVP17" s="41"/>
      <c r="MWA17" s="41"/>
      <c r="MWL17" s="41"/>
      <c r="MWW17" s="41"/>
      <c r="MXH17" s="41"/>
      <c r="MXS17" s="41"/>
      <c r="MYD17" s="41"/>
      <c r="MYO17" s="41"/>
      <c r="MYZ17" s="41"/>
      <c r="MZK17" s="41"/>
      <c r="MZV17" s="41"/>
      <c r="NAG17" s="41"/>
      <c r="NAR17" s="41"/>
      <c r="NBC17" s="41"/>
      <c r="NBN17" s="41"/>
      <c r="NBY17" s="41"/>
      <c r="NCJ17" s="41"/>
      <c r="NCU17" s="41"/>
      <c r="NDF17" s="41"/>
      <c r="NDQ17" s="41"/>
      <c r="NEB17" s="41"/>
      <c r="NEM17" s="41"/>
      <c r="NEX17" s="41"/>
      <c r="NFI17" s="41"/>
      <c r="NFT17" s="41"/>
      <c r="NGE17" s="41"/>
      <c r="NGP17" s="41"/>
      <c r="NHA17" s="41"/>
      <c r="NHL17" s="41"/>
      <c r="NHW17" s="41"/>
      <c r="NIH17" s="41"/>
      <c r="NIS17" s="41"/>
      <c r="NJD17" s="41"/>
      <c r="NJO17" s="41"/>
      <c r="NJZ17" s="41"/>
      <c r="NKK17" s="41"/>
      <c r="NKV17" s="41"/>
      <c r="NLG17" s="41"/>
      <c r="NLR17" s="41"/>
      <c r="NMC17" s="41"/>
      <c r="NMN17" s="41"/>
      <c r="NMY17" s="41"/>
      <c r="NNJ17" s="41"/>
      <c r="NNU17" s="41"/>
      <c r="NOF17" s="41"/>
      <c r="NOQ17" s="41"/>
      <c r="NPB17" s="41"/>
      <c r="NPM17" s="41"/>
      <c r="NPX17" s="41"/>
      <c r="NQI17" s="41"/>
      <c r="NQT17" s="41"/>
      <c r="NRE17" s="41"/>
      <c r="NRP17" s="41"/>
      <c r="NSA17" s="41"/>
      <c r="NSL17" s="41"/>
      <c r="NSW17" s="41"/>
      <c r="NTH17" s="41"/>
      <c r="NTS17" s="41"/>
      <c r="NUD17" s="41"/>
      <c r="NUO17" s="41"/>
      <c r="NUZ17" s="41"/>
      <c r="NVK17" s="41"/>
      <c r="NVV17" s="41"/>
      <c r="NWG17" s="41"/>
      <c r="NWR17" s="41"/>
      <c r="NXC17" s="41"/>
      <c r="NXN17" s="41"/>
      <c r="NXY17" s="41"/>
      <c r="NYJ17" s="41"/>
      <c r="NYU17" s="41"/>
      <c r="NZF17" s="41"/>
      <c r="NZQ17" s="41"/>
      <c r="OAB17" s="41"/>
      <c r="OAM17" s="41"/>
      <c r="OAX17" s="41"/>
      <c r="OBI17" s="41"/>
      <c r="OBT17" s="41"/>
      <c r="OCE17" s="41"/>
      <c r="OCP17" s="41"/>
      <c r="ODA17" s="41"/>
      <c r="ODL17" s="41"/>
      <c r="ODW17" s="41"/>
      <c r="OEH17" s="41"/>
      <c r="OES17" s="41"/>
      <c r="OFD17" s="41"/>
      <c r="OFO17" s="41"/>
      <c r="OFZ17" s="41"/>
      <c r="OGK17" s="41"/>
      <c r="OGV17" s="41"/>
      <c r="OHG17" s="41"/>
      <c r="OHR17" s="41"/>
      <c r="OIC17" s="41"/>
      <c r="OIN17" s="41"/>
      <c r="OIY17" s="41"/>
      <c r="OJJ17" s="41"/>
      <c r="OJU17" s="41"/>
      <c r="OKF17" s="41"/>
      <c r="OKQ17" s="41"/>
      <c r="OLB17" s="41"/>
      <c r="OLM17" s="41"/>
      <c r="OLX17" s="41"/>
      <c r="OMI17" s="41"/>
      <c r="OMT17" s="41"/>
      <c r="ONE17" s="41"/>
      <c r="ONP17" s="41"/>
      <c r="OOA17" s="41"/>
      <c r="OOL17" s="41"/>
      <c r="OOW17" s="41"/>
      <c r="OPH17" s="41"/>
      <c r="OPS17" s="41"/>
      <c r="OQD17" s="41"/>
      <c r="OQO17" s="41"/>
      <c r="OQZ17" s="41"/>
      <c r="ORK17" s="41"/>
      <c r="ORV17" s="41"/>
      <c r="OSG17" s="41"/>
      <c r="OSR17" s="41"/>
      <c r="OTC17" s="41"/>
      <c r="OTN17" s="41"/>
      <c r="OTY17" s="41"/>
      <c r="OUJ17" s="41"/>
      <c r="OUU17" s="41"/>
      <c r="OVF17" s="41"/>
      <c r="OVQ17" s="41"/>
      <c r="OWB17" s="41"/>
      <c r="OWM17" s="41"/>
      <c r="OWX17" s="41"/>
      <c r="OXI17" s="41"/>
      <c r="OXT17" s="41"/>
      <c r="OYE17" s="41"/>
      <c r="OYP17" s="41"/>
      <c r="OZA17" s="41"/>
      <c r="OZL17" s="41"/>
      <c r="OZW17" s="41"/>
      <c r="PAH17" s="41"/>
      <c r="PAS17" s="41"/>
      <c r="PBD17" s="41"/>
      <c r="PBO17" s="41"/>
      <c r="PBZ17" s="41"/>
      <c r="PCK17" s="41"/>
      <c r="PCV17" s="41"/>
      <c r="PDG17" s="41"/>
      <c r="PDR17" s="41"/>
      <c r="PEC17" s="41"/>
      <c r="PEN17" s="41"/>
      <c r="PEY17" s="41"/>
      <c r="PFJ17" s="41"/>
      <c r="PFU17" s="41"/>
      <c r="PGF17" s="41"/>
      <c r="PGQ17" s="41"/>
      <c r="PHB17" s="41"/>
      <c r="PHM17" s="41"/>
      <c r="PHX17" s="41"/>
      <c r="PII17" s="41"/>
      <c r="PIT17" s="41"/>
      <c r="PJE17" s="41"/>
      <c r="PJP17" s="41"/>
      <c r="PKA17" s="41"/>
      <c r="PKL17" s="41"/>
      <c r="PKW17" s="41"/>
      <c r="PLH17" s="41"/>
      <c r="PLS17" s="41"/>
      <c r="PMD17" s="41"/>
      <c r="PMO17" s="41"/>
      <c r="PMZ17" s="41"/>
      <c r="PNK17" s="41"/>
      <c r="PNV17" s="41"/>
      <c r="POG17" s="41"/>
      <c r="POR17" s="41"/>
      <c r="PPC17" s="41"/>
      <c r="PPN17" s="41"/>
      <c r="PPY17" s="41"/>
      <c r="PQJ17" s="41"/>
      <c r="PQU17" s="41"/>
      <c r="PRF17" s="41"/>
      <c r="PRQ17" s="41"/>
      <c r="PSB17" s="41"/>
      <c r="PSM17" s="41"/>
      <c r="PSX17" s="41"/>
      <c r="PTI17" s="41"/>
      <c r="PTT17" s="41"/>
      <c r="PUE17" s="41"/>
      <c r="PUP17" s="41"/>
      <c r="PVA17" s="41"/>
      <c r="PVL17" s="41"/>
      <c r="PVW17" s="41"/>
      <c r="PWH17" s="41"/>
      <c r="PWS17" s="41"/>
      <c r="PXD17" s="41"/>
      <c r="PXO17" s="41"/>
      <c r="PXZ17" s="41"/>
      <c r="PYK17" s="41"/>
      <c r="PYV17" s="41"/>
      <c r="PZG17" s="41"/>
      <c r="PZR17" s="41"/>
      <c r="QAC17" s="41"/>
      <c r="QAN17" s="41"/>
      <c r="QAY17" s="41"/>
      <c r="QBJ17" s="41"/>
      <c r="QBU17" s="41"/>
      <c r="QCF17" s="41"/>
      <c r="QCQ17" s="41"/>
      <c r="QDB17" s="41"/>
      <c r="QDM17" s="41"/>
      <c r="QDX17" s="41"/>
      <c r="QEI17" s="41"/>
      <c r="QET17" s="41"/>
      <c r="QFE17" s="41"/>
      <c r="QFP17" s="41"/>
      <c r="QGA17" s="41"/>
      <c r="QGL17" s="41"/>
      <c r="QGW17" s="41"/>
      <c r="QHH17" s="41"/>
      <c r="QHS17" s="41"/>
      <c r="QID17" s="41"/>
      <c r="QIO17" s="41"/>
      <c r="QIZ17" s="41"/>
      <c r="QJK17" s="41"/>
      <c r="QJV17" s="41"/>
      <c r="QKG17" s="41"/>
      <c r="QKR17" s="41"/>
      <c r="QLC17" s="41"/>
      <c r="QLN17" s="41"/>
      <c r="QLY17" s="41"/>
      <c r="QMJ17" s="41"/>
      <c r="QMU17" s="41"/>
      <c r="QNF17" s="41"/>
      <c r="QNQ17" s="41"/>
      <c r="QOB17" s="41"/>
      <c r="QOM17" s="41"/>
      <c r="QOX17" s="41"/>
      <c r="QPI17" s="41"/>
      <c r="QPT17" s="41"/>
      <c r="QQE17" s="41"/>
      <c r="QQP17" s="41"/>
      <c r="QRA17" s="41"/>
      <c r="QRL17" s="41"/>
      <c r="QRW17" s="41"/>
      <c r="QSH17" s="41"/>
      <c r="QSS17" s="41"/>
      <c r="QTD17" s="41"/>
      <c r="QTO17" s="41"/>
      <c r="QTZ17" s="41"/>
      <c r="QUK17" s="41"/>
      <c r="QUV17" s="41"/>
      <c r="QVG17" s="41"/>
      <c r="QVR17" s="41"/>
      <c r="QWC17" s="41"/>
      <c r="QWN17" s="41"/>
      <c r="QWY17" s="41"/>
      <c r="QXJ17" s="41"/>
      <c r="QXU17" s="41"/>
      <c r="QYF17" s="41"/>
      <c r="QYQ17" s="41"/>
      <c r="QZB17" s="41"/>
      <c r="QZM17" s="41"/>
      <c r="QZX17" s="41"/>
      <c r="RAI17" s="41"/>
      <c r="RAT17" s="41"/>
      <c r="RBE17" s="41"/>
      <c r="RBP17" s="41"/>
      <c r="RCA17" s="41"/>
      <c r="RCL17" s="41"/>
      <c r="RCW17" s="41"/>
      <c r="RDH17" s="41"/>
      <c r="RDS17" s="41"/>
      <c r="RED17" s="41"/>
      <c r="REO17" s="41"/>
      <c r="REZ17" s="41"/>
      <c r="RFK17" s="41"/>
      <c r="RFV17" s="41"/>
      <c r="RGG17" s="41"/>
      <c r="RGR17" s="41"/>
      <c r="RHC17" s="41"/>
      <c r="RHN17" s="41"/>
      <c r="RHY17" s="41"/>
      <c r="RIJ17" s="41"/>
      <c r="RIU17" s="41"/>
      <c r="RJF17" s="41"/>
      <c r="RJQ17" s="41"/>
      <c r="RKB17" s="41"/>
      <c r="RKM17" s="41"/>
      <c r="RKX17" s="41"/>
      <c r="RLI17" s="41"/>
      <c r="RLT17" s="41"/>
      <c r="RME17" s="41"/>
      <c r="RMP17" s="41"/>
      <c r="RNA17" s="41"/>
      <c r="RNL17" s="41"/>
      <c r="RNW17" s="41"/>
      <c r="ROH17" s="41"/>
      <c r="ROS17" s="41"/>
      <c r="RPD17" s="41"/>
      <c r="RPO17" s="41"/>
      <c r="RPZ17" s="41"/>
      <c r="RQK17" s="41"/>
      <c r="RQV17" s="41"/>
      <c r="RRG17" s="41"/>
      <c r="RRR17" s="41"/>
      <c r="RSC17" s="41"/>
      <c r="RSN17" s="41"/>
      <c r="RSY17" s="41"/>
      <c r="RTJ17" s="41"/>
      <c r="RTU17" s="41"/>
      <c r="RUF17" s="41"/>
      <c r="RUQ17" s="41"/>
      <c r="RVB17" s="41"/>
      <c r="RVM17" s="41"/>
      <c r="RVX17" s="41"/>
      <c r="RWI17" s="41"/>
      <c r="RWT17" s="41"/>
      <c r="RXE17" s="41"/>
      <c r="RXP17" s="41"/>
      <c r="RYA17" s="41"/>
      <c r="RYL17" s="41"/>
      <c r="RYW17" s="41"/>
      <c r="RZH17" s="41"/>
      <c r="RZS17" s="41"/>
      <c r="SAD17" s="41"/>
      <c r="SAO17" s="41"/>
      <c r="SAZ17" s="41"/>
      <c r="SBK17" s="41"/>
      <c r="SBV17" s="41"/>
      <c r="SCG17" s="41"/>
      <c r="SCR17" s="41"/>
      <c r="SDC17" s="41"/>
      <c r="SDN17" s="41"/>
      <c r="SDY17" s="41"/>
      <c r="SEJ17" s="41"/>
      <c r="SEU17" s="41"/>
      <c r="SFF17" s="41"/>
      <c r="SFQ17" s="41"/>
      <c r="SGB17" s="41"/>
      <c r="SGM17" s="41"/>
      <c r="SGX17" s="41"/>
      <c r="SHI17" s="41"/>
      <c r="SHT17" s="41"/>
      <c r="SIE17" s="41"/>
      <c r="SIP17" s="41"/>
      <c r="SJA17" s="41"/>
      <c r="SJL17" s="41"/>
      <c r="SJW17" s="41"/>
      <c r="SKH17" s="41"/>
      <c r="SKS17" s="41"/>
      <c r="SLD17" s="41"/>
      <c r="SLO17" s="41"/>
      <c r="SLZ17" s="41"/>
      <c r="SMK17" s="41"/>
      <c r="SMV17" s="41"/>
      <c r="SNG17" s="41"/>
      <c r="SNR17" s="41"/>
      <c r="SOC17" s="41"/>
      <c r="SON17" s="41"/>
      <c r="SOY17" s="41"/>
      <c r="SPJ17" s="41"/>
      <c r="SPU17" s="41"/>
      <c r="SQF17" s="41"/>
      <c r="SQQ17" s="41"/>
      <c r="SRB17" s="41"/>
      <c r="SRM17" s="41"/>
      <c r="SRX17" s="41"/>
      <c r="SSI17" s="41"/>
      <c r="SST17" s="41"/>
      <c r="STE17" s="41"/>
      <c r="STP17" s="41"/>
      <c r="SUA17" s="41"/>
      <c r="SUL17" s="41"/>
      <c r="SUW17" s="41"/>
      <c r="SVH17" s="41"/>
      <c r="SVS17" s="41"/>
      <c r="SWD17" s="41"/>
      <c r="SWO17" s="41"/>
      <c r="SWZ17" s="41"/>
      <c r="SXK17" s="41"/>
      <c r="SXV17" s="41"/>
      <c r="SYG17" s="41"/>
      <c r="SYR17" s="41"/>
      <c r="SZC17" s="41"/>
      <c r="SZN17" s="41"/>
      <c r="SZY17" s="41"/>
      <c r="TAJ17" s="41"/>
      <c r="TAU17" s="41"/>
      <c r="TBF17" s="41"/>
      <c r="TBQ17" s="41"/>
      <c r="TCB17" s="41"/>
      <c r="TCM17" s="41"/>
      <c r="TCX17" s="41"/>
      <c r="TDI17" s="41"/>
      <c r="TDT17" s="41"/>
      <c r="TEE17" s="41"/>
      <c r="TEP17" s="41"/>
      <c r="TFA17" s="41"/>
      <c r="TFL17" s="41"/>
      <c r="TFW17" s="41"/>
      <c r="TGH17" s="41"/>
      <c r="TGS17" s="41"/>
      <c r="THD17" s="41"/>
      <c r="THO17" s="41"/>
      <c r="THZ17" s="41"/>
      <c r="TIK17" s="41"/>
      <c r="TIV17" s="41"/>
      <c r="TJG17" s="41"/>
      <c r="TJR17" s="41"/>
      <c r="TKC17" s="41"/>
      <c r="TKN17" s="41"/>
      <c r="TKY17" s="41"/>
      <c r="TLJ17" s="41"/>
      <c r="TLU17" s="41"/>
      <c r="TMF17" s="41"/>
      <c r="TMQ17" s="41"/>
      <c r="TNB17" s="41"/>
      <c r="TNM17" s="41"/>
      <c r="TNX17" s="41"/>
      <c r="TOI17" s="41"/>
      <c r="TOT17" s="41"/>
      <c r="TPE17" s="41"/>
      <c r="TPP17" s="41"/>
      <c r="TQA17" s="41"/>
      <c r="TQL17" s="41"/>
      <c r="TQW17" s="41"/>
      <c r="TRH17" s="41"/>
      <c r="TRS17" s="41"/>
      <c r="TSD17" s="41"/>
      <c r="TSO17" s="41"/>
      <c r="TSZ17" s="41"/>
      <c r="TTK17" s="41"/>
      <c r="TTV17" s="41"/>
      <c r="TUG17" s="41"/>
      <c r="TUR17" s="41"/>
      <c r="TVC17" s="41"/>
      <c r="TVN17" s="41"/>
      <c r="TVY17" s="41"/>
      <c r="TWJ17" s="41"/>
      <c r="TWU17" s="41"/>
      <c r="TXF17" s="41"/>
      <c r="TXQ17" s="41"/>
      <c r="TYB17" s="41"/>
      <c r="TYM17" s="41"/>
      <c r="TYX17" s="41"/>
      <c r="TZI17" s="41"/>
      <c r="TZT17" s="41"/>
      <c r="UAE17" s="41"/>
      <c r="UAP17" s="41"/>
      <c r="UBA17" s="41"/>
      <c r="UBL17" s="41"/>
      <c r="UBW17" s="41"/>
      <c r="UCH17" s="41"/>
      <c r="UCS17" s="41"/>
      <c r="UDD17" s="41"/>
      <c r="UDO17" s="41"/>
      <c r="UDZ17" s="41"/>
      <c r="UEK17" s="41"/>
      <c r="UEV17" s="41"/>
      <c r="UFG17" s="41"/>
      <c r="UFR17" s="41"/>
      <c r="UGC17" s="41"/>
      <c r="UGN17" s="41"/>
      <c r="UGY17" s="41"/>
      <c r="UHJ17" s="41"/>
      <c r="UHU17" s="41"/>
      <c r="UIF17" s="41"/>
      <c r="UIQ17" s="41"/>
      <c r="UJB17" s="41"/>
      <c r="UJM17" s="41"/>
      <c r="UJX17" s="41"/>
      <c r="UKI17" s="41"/>
      <c r="UKT17" s="41"/>
      <c r="ULE17" s="41"/>
      <c r="ULP17" s="41"/>
      <c r="UMA17" s="41"/>
      <c r="UML17" s="41"/>
      <c r="UMW17" s="41"/>
      <c r="UNH17" s="41"/>
      <c r="UNS17" s="41"/>
      <c r="UOD17" s="41"/>
      <c r="UOO17" s="41"/>
      <c r="UOZ17" s="41"/>
      <c r="UPK17" s="41"/>
      <c r="UPV17" s="41"/>
      <c r="UQG17" s="41"/>
      <c r="UQR17" s="41"/>
      <c r="URC17" s="41"/>
      <c r="URN17" s="41"/>
      <c r="URY17" s="41"/>
      <c r="USJ17" s="41"/>
      <c r="USU17" s="41"/>
      <c r="UTF17" s="41"/>
      <c r="UTQ17" s="41"/>
      <c r="UUB17" s="41"/>
      <c r="UUM17" s="41"/>
      <c r="UUX17" s="41"/>
      <c r="UVI17" s="41"/>
      <c r="UVT17" s="41"/>
      <c r="UWE17" s="41"/>
      <c r="UWP17" s="41"/>
      <c r="UXA17" s="41"/>
      <c r="UXL17" s="41"/>
      <c r="UXW17" s="41"/>
      <c r="UYH17" s="41"/>
      <c r="UYS17" s="41"/>
      <c r="UZD17" s="41"/>
      <c r="UZO17" s="41"/>
      <c r="UZZ17" s="41"/>
      <c r="VAK17" s="41"/>
      <c r="VAV17" s="41"/>
      <c r="VBG17" s="41"/>
      <c r="VBR17" s="41"/>
      <c r="VCC17" s="41"/>
      <c r="VCN17" s="41"/>
      <c r="VCY17" s="41"/>
      <c r="VDJ17" s="41"/>
      <c r="VDU17" s="41"/>
      <c r="VEF17" s="41"/>
      <c r="VEQ17" s="41"/>
      <c r="VFB17" s="41"/>
      <c r="VFM17" s="41"/>
      <c r="VFX17" s="41"/>
      <c r="VGI17" s="41"/>
      <c r="VGT17" s="41"/>
      <c r="VHE17" s="41"/>
      <c r="VHP17" s="41"/>
      <c r="VIA17" s="41"/>
      <c r="VIL17" s="41"/>
      <c r="VIW17" s="41"/>
      <c r="VJH17" s="41"/>
      <c r="VJS17" s="41"/>
      <c r="VKD17" s="41"/>
      <c r="VKO17" s="41"/>
      <c r="VKZ17" s="41"/>
      <c r="VLK17" s="41"/>
      <c r="VLV17" s="41"/>
      <c r="VMG17" s="41"/>
      <c r="VMR17" s="41"/>
      <c r="VNC17" s="41"/>
      <c r="VNN17" s="41"/>
      <c r="VNY17" s="41"/>
      <c r="VOJ17" s="41"/>
      <c r="VOU17" s="41"/>
      <c r="VPF17" s="41"/>
      <c r="VPQ17" s="41"/>
      <c r="VQB17" s="41"/>
      <c r="VQM17" s="41"/>
      <c r="VQX17" s="41"/>
      <c r="VRI17" s="41"/>
      <c r="VRT17" s="41"/>
      <c r="VSE17" s="41"/>
      <c r="VSP17" s="41"/>
      <c r="VTA17" s="41"/>
      <c r="VTL17" s="41"/>
      <c r="VTW17" s="41"/>
      <c r="VUH17" s="41"/>
      <c r="VUS17" s="41"/>
      <c r="VVD17" s="41"/>
      <c r="VVO17" s="41"/>
      <c r="VVZ17" s="41"/>
      <c r="VWK17" s="41"/>
      <c r="VWV17" s="41"/>
      <c r="VXG17" s="41"/>
      <c r="VXR17" s="41"/>
      <c r="VYC17" s="41"/>
      <c r="VYN17" s="41"/>
      <c r="VYY17" s="41"/>
      <c r="VZJ17" s="41"/>
      <c r="VZU17" s="41"/>
      <c r="WAF17" s="41"/>
      <c r="WAQ17" s="41"/>
      <c r="WBB17" s="41"/>
      <c r="WBM17" s="41"/>
      <c r="WBX17" s="41"/>
      <c r="WCI17" s="41"/>
      <c r="WCT17" s="41"/>
      <c r="WDE17" s="41"/>
      <c r="WDP17" s="41"/>
      <c r="WEA17" s="41"/>
      <c r="WEL17" s="41"/>
      <c r="WEW17" s="41"/>
      <c r="WFH17" s="41"/>
      <c r="WFS17" s="41"/>
      <c r="WGD17" s="41"/>
      <c r="WGO17" s="41"/>
      <c r="WGZ17" s="41"/>
      <c r="WHK17" s="41"/>
      <c r="WHV17" s="41"/>
      <c r="WIG17" s="41"/>
      <c r="WIR17" s="41"/>
      <c r="WJC17" s="41"/>
      <c r="WJN17" s="41"/>
      <c r="WJY17" s="41"/>
      <c r="WKJ17" s="41"/>
      <c r="WKU17" s="41"/>
      <c r="WLF17" s="41"/>
      <c r="WLQ17" s="41"/>
      <c r="WMB17" s="41"/>
      <c r="WMM17" s="41"/>
      <c r="WMX17" s="41"/>
      <c r="WNI17" s="41"/>
      <c r="WNT17" s="41"/>
      <c r="WOE17" s="41"/>
      <c r="WOP17" s="41"/>
      <c r="WPA17" s="41"/>
      <c r="WPL17" s="41"/>
      <c r="WPW17" s="41"/>
      <c r="WQH17" s="41"/>
      <c r="WQS17" s="41"/>
      <c r="WRD17" s="41"/>
      <c r="WRO17" s="41"/>
      <c r="WRZ17" s="41"/>
      <c r="WSK17" s="41"/>
      <c r="WSV17" s="41"/>
      <c r="WTG17" s="41"/>
      <c r="WTR17" s="41"/>
      <c r="WUC17" s="41"/>
      <c r="WUN17" s="41"/>
      <c r="WUY17" s="41"/>
      <c r="WVJ17" s="41"/>
      <c r="WVU17" s="41"/>
      <c r="WWF17" s="41"/>
      <c r="WWQ17" s="41"/>
      <c r="WXB17" s="41"/>
      <c r="WXM17" s="41"/>
      <c r="WXX17" s="41"/>
      <c r="WYI17" s="41"/>
      <c r="WYT17" s="41"/>
      <c r="WZE17" s="41"/>
      <c r="WZP17" s="41"/>
      <c r="XAA17" s="41"/>
      <c r="XAL17" s="41"/>
      <c r="XAW17" s="41"/>
      <c r="XBH17" s="41"/>
      <c r="XBS17" s="41"/>
      <c r="XCD17" s="41"/>
      <c r="XCO17" s="41"/>
      <c r="XCZ17" s="41"/>
      <c r="XDK17" s="41"/>
      <c r="XDV17" s="41"/>
      <c r="XEG17" s="41"/>
      <c r="XER17" s="41"/>
      <c r="XFC17" s="41"/>
    </row>
    <row r="18" spans="1:1016 1027:2039 2050:3062 3073:4096 4107:5119 5130:6142 6153:7165 7176:8188 8199:9211 9222:10234 10245:11257 11268:12280 12291:13303 13314:14326 14337:15360 15371:16383" ht="3.9" customHeight="1">
      <c r="I18" s="10"/>
      <c r="AA18" t="s">
        <v>234</v>
      </c>
    </row>
    <row r="19" spans="1:1016 1027:2039 2050:3062 3073:4096 4107:5119 5130:6142 6153:7165 7176:8188 8199:9211 9222:10234 10245:11257 11268:12280 12291:13303 13314:14326 14337:15360 15371:16383" s="40" customFormat="1" ht="17.25" customHeight="1">
      <c r="D19" s="40" t="s">
        <v>5</v>
      </c>
      <c r="F19" s="41"/>
      <c r="I19" s="42" t="s">
        <v>18</v>
      </c>
      <c r="M19" s="207"/>
      <c r="Z19" s="41"/>
      <c r="AA19" s="40" t="s">
        <v>113</v>
      </c>
      <c r="AK19" s="41"/>
      <c r="AV19" s="41"/>
      <c r="BG19" s="41"/>
      <c r="BR19" s="41"/>
      <c r="CC19" s="41"/>
      <c r="CN19" s="41"/>
      <c r="CY19" s="41"/>
      <c r="DJ19" s="41"/>
      <c r="DU19" s="41"/>
      <c r="EF19" s="41"/>
      <c r="EQ19" s="41"/>
      <c r="FB19" s="41"/>
      <c r="FM19" s="41"/>
      <c r="FX19" s="41"/>
      <c r="GI19" s="41"/>
      <c r="GT19" s="41"/>
      <c r="HE19" s="41"/>
      <c r="HP19" s="41"/>
      <c r="IA19" s="41"/>
      <c r="IL19" s="41"/>
      <c r="IW19" s="41"/>
      <c r="JH19" s="41"/>
      <c r="JS19" s="41"/>
      <c r="KD19" s="41"/>
      <c r="KO19" s="41"/>
      <c r="KZ19" s="41"/>
      <c r="LK19" s="41"/>
      <c r="LV19" s="41"/>
      <c r="MG19" s="41"/>
      <c r="MR19" s="41"/>
      <c r="NC19" s="41"/>
      <c r="NN19" s="41"/>
      <c r="NY19" s="41"/>
      <c r="OJ19" s="41"/>
      <c r="OU19" s="41"/>
      <c r="PF19" s="41"/>
      <c r="PQ19" s="41"/>
      <c r="QB19" s="41"/>
      <c r="QM19" s="41"/>
      <c r="QX19" s="41"/>
      <c r="RI19" s="41"/>
      <c r="RT19" s="41"/>
      <c r="SE19" s="41"/>
      <c r="SP19" s="41"/>
      <c r="TA19" s="41"/>
      <c r="TL19" s="41"/>
      <c r="TW19" s="41"/>
      <c r="UH19" s="41"/>
      <c r="US19" s="41"/>
      <c r="VD19" s="41"/>
      <c r="VO19" s="41"/>
      <c r="VZ19" s="41"/>
      <c r="WK19" s="41"/>
      <c r="WV19" s="41"/>
      <c r="XG19" s="41"/>
      <c r="XR19" s="41"/>
      <c r="YC19" s="41"/>
      <c r="YN19" s="41"/>
      <c r="YY19" s="41"/>
      <c r="ZJ19" s="41"/>
      <c r="ZU19" s="41"/>
      <c r="AAF19" s="41"/>
      <c r="AAQ19" s="41"/>
      <c r="ABB19" s="41"/>
      <c r="ABM19" s="41"/>
      <c r="ABX19" s="41"/>
      <c r="ACI19" s="41"/>
      <c r="ACT19" s="41"/>
      <c r="ADE19" s="41"/>
      <c r="ADP19" s="41"/>
      <c r="AEA19" s="41"/>
      <c r="AEL19" s="41"/>
      <c r="AEW19" s="41"/>
      <c r="AFH19" s="41"/>
      <c r="AFS19" s="41"/>
      <c r="AGD19" s="41"/>
      <c r="AGO19" s="41"/>
      <c r="AGZ19" s="41"/>
      <c r="AHK19" s="41"/>
      <c r="AHV19" s="41"/>
      <c r="AIG19" s="41"/>
      <c r="AIR19" s="41"/>
      <c r="AJC19" s="41"/>
      <c r="AJN19" s="41"/>
      <c r="AJY19" s="41"/>
      <c r="AKJ19" s="41"/>
      <c r="AKU19" s="41"/>
      <c r="ALF19" s="41"/>
      <c r="ALQ19" s="41"/>
      <c r="AMB19" s="41"/>
      <c r="AMM19" s="41"/>
      <c r="AMX19" s="41"/>
      <c r="ANI19" s="41"/>
      <c r="ANT19" s="41"/>
      <c r="AOE19" s="41"/>
      <c r="AOP19" s="41"/>
      <c r="APA19" s="41"/>
      <c r="APL19" s="41"/>
      <c r="APW19" s="41"/>
      <c r="AQH19" s="41"/>
      <c r="AQS19" s="41"/>
      <c r="ARD19" s="41"/>
      <c r="ARO19" s="41"/>
      <c r="ARZ19" s="41"/>
      <c r="ASK19" s="41"/>
      <c r="ASV19" s="41"/>
      <c r="ATG19" s="41"/>
      <c r="ATR19" s="41"/>
      <c r="AUC19" s="41"/>
      <c r="AUN19" s="41"/>
      <c r="AUY19" s="41"/>
      <c r="AVJ19" s="41"/>
      <c r="AVU19" s="41"/>
      <c r="AWF19" s="41"/>
      <c r="AWQ19" s="41"/>
      <c r="AXB19" s="41"/>
      <c r="AXM19" s="41"/>
      <c r="AXX19" s="41"/>
      <c r="AYI19" s="41"/>
      <c r="AYT19" s="41"/>
      <c r="AZE19" s="41"/>
      <c r="AZP19" s="41"/>
      <c r="BAA19" s="41"/>
      <c r="BAL19" s="41"/>
      <c r="BAW19" s="41"/>
      <c r="BBH19" s="41"/>
      <c r="BBS19" s="41"/>
      <c r="BCD19" s="41"/>
      <c r="BCO19" s="41"/>
      <c r="BCZ19" s="41"/>
      <c r="BDK19" s="41"/>
      <c r="BDV19" s="41"/>
      <c r="BEG19" s="41"/>
      <c r="BER19" s="41"/>
      <c r="BFC19" s="41"/>
      <c r="BFN19" s="41"/>
      <c r="BFY19" s="41"/>
      <c r="BGJ19" s="41"/>
      <c r="BGU19" s="41"/>
      <c r="BHF19" s="41"/>
      <c r="BHQ19" s="41"/>
      <c r="BIB19" s="41"/>
      <c r="BIM19" s="41"/>
      <c r="BIX19" s="41"/>
      <c r="BJI19" s="41"/>
      <c r="BJT19" s="41"/>
      <c r="BKE19" s="41"/>
      <c r="BKP19" s="41"/>
      <c r="BLA19" s="41"/>
      <c r="BLL19" s="41"/>
      <c r="BLW19" s="41"/>
      <c r="BMH19" s="41"/>
      <c r="BMS19" s="41"/>
      <c r="BND19" s="41"/>
      <c r="BNO19" s="41"/>
      <c r="BNZ19" s="41"/>
      <c r="BOK19" s="41"/>
      <c r="BOV19" s="41"/>
      <c r="BPG19" s="41"/>
      <c r="BPR19" s="41"/>
      <c r="BQC19" s="41"/>
      <c r="BQN19" s="41"/>
      <c r="BQY19" s="41"/>
      <c r="BRJ19" s="41"/>
      <c r="BRU19" s="41"/>
      <c r="BSF19" s="41"/>
      <c r="BSQ19" s="41"/>
      <c r="BTB19" s="41"/>
      <c r="BTM19" s="41"/>
      <c r="BTX19" s="41"/>
      <c r="BUI19" s="41"/>
      <c r="BUT19" s="41"/>
      <c r="BVE19" s="41"/>
      <c r="BVP19" s="41"/>
      <c r="BWA19" s="41"/>
      <c r="BWL19" s="41"/>
      <c r="BWW19" s="41"/>
      <c r="BXH19" s="41"/>
      <c r="BXS19" s="41"/>
      <c r="BYD19" s="41"/>
      <c r="BYO19" s="41"/>
      <c r="BYZ19" s="41"/>
      <c r="BZK19" s="41"/>
      <c r="BZV19" s="41"/>
      <c r="CAG19" s="41"/>
      <c r="CAR19" s="41"/>
      <c r="CBC19" s="41"/>
      <c r="CBN19" s="41"/>
      <c r="CBY19" s="41"/>
      <c r="CCJ19" s="41"/>
      <c r="CCU19" s="41"/>
      <c r="CDF19" s="41"/>
      <c r="CDQ19" s="41"/>
      <c r="CEB19" s="41"/>
      <c r="CEM19" s="41"/>
      <c r="CEX19" s="41"/>
      <c r="CFI19" s="41"/>
      <c r="CFT19" s="41"/>
      <c r="CGE19" s="41"/>
      <c r="CGP19" s="41"/>
      <c r="CHA19" s="41"/>
      <c r="CHL19" s="41"/>
      <c r="CHW19" s="41"/>
      <c r="CIH19" s="41"/>
      <c r="CIS19" s="41"/>
      <c r="CJD19" s="41"/>
      <c r="CJO19" s="41"/>
      <c r="CJZ19" s="41"/>
      <c r="CKK19" s="41"/>
      <c r="CKV19" s="41"/>
      <c r="CLG19" s="41"/>
      <c r="CLR19" s="41"/>
      <c r="CMC19" s="41"/>
      <c r="CMN19" s="41"/>
      <c r="CMY19" s="41"/>
      <c r="CNJ19" s="41"/>
      <c r="CNU19" s="41"/>
      <c r="COF19" s="41"/>
      <c r="COQ19" s="41"/>
      <c r="CPB19" s="41"/>
      <c r="CPM19" s="41"/>
      <c r="CPX19" s="41"/>
      <c r="CQI19" s="41"/>
      <c r="CQT19" s="41"/>
      <c r="CRE19" s="41"/>
      <c r="CRP19" s="41"/>
      <c r="CSA19" s="41"/>
      <c r="CSL19" s="41"/>
      <c r="CSW19" s="41"/>
      <c r="CTH19" s="41"/>
      <c r="CTS19" s="41"/>
      <c r="CUD19" s="41"/>
      <c r="CUO19" s="41"/>
      <c r="CUZ19" s="41"/>
      <c r="CVK19" s="41"/>
      <c r="CVV19" s="41"/>
      <c r="CWG19" s="41"/>
      <c r="CWR19" s="41"/>
      <c r="CXC19" s="41"/>
      <c r="CXN19" s="41"/>
      <c r="CXY19" s="41"/>
      <c r="CYJ19" s="41"/>
      <c r="CYU19" s="41"/>
      <c r="CZF19" s="41"/>
      <c r="CZQ19" s="41"/>
      <c r="DAB19" s="41"/>
      <c r="DAM19" s="41"/>
      <c r="DAX19" s="41"/>
      <c r="DBI19" s="41"/>
      <c r="DBT19" s="41"/>
      <c r="DCE19" s="41"/>
      <c r="DCP19" s="41"/>
      <c r="DDA19" s="41"/>
      <c r="DDL19" s="41"/>
      <c r="DDW19" s="41"/>
      <c r="DEH19" s="41"/>
      <c r="DES19" s="41"/>
      <c r="DFD19" s="41"/>
      <c r="DFO19" s="41"/>
      <c r="DFZ19" s="41"/>
      <c r="DGK19" s="41"/>
      <c r="DGV19" s="41"/>
      <c r="DHG19" s="41"/>
      <c r="DHR19" s="41"/>
      <c r="DIC19" s="41"/>
      <c r="DIN19" s="41"/>
      <c r="DIY19" s="41"/>
      <c r="DJJ19" s="41"/>
      <c r="DJU19" s="41"/>
      <c r="DKF19" s="41"/>
      <c r="DKQ19" s="41"/>
      <c r="DLB19" s="41"/>
      <c r="DLM19" s="41"/>
      <c r="DLX19" s="41"/>
      <c r="DMI19" s="41"/>
      <c r="DMT19" s="41"/>
      <c r="DNE19" s="41"/>
      <c r="DNP19" s="41"/>
      <c r="DOA19" s="41"/>
      <c r="DOL19" s="41"/>
      <c r="DOW19" s="41"/>
      <c r="DPH19" s="41"/>
      <c r="DPS19" s="41"/>
      <c r="DQD19" s="41"/>
      <c r="DQO19" s="41"/>
      <c r="DQZ19" s="41"/>
      <c r="DRK19" s="41"/>
      <c r="DRV19" s="41"/>
      <c r="DSG19" s="41"/>
      <c r="DSR19" s="41"/>
      <c r="DTC19" s="41"/>
      <c r="DTN19" s="41"/>
      <c r="DTY19" s="41"/>
      <c r="DUJ19" s="41"/>
      <c r="DUU19" s="41"/>
      <c r="DVF19" s="41"/>
      <c r="DVQ19" s="41"/>
      <c r="DWB19" s="41"/>
      <c r="DWM19" s="41"/>
      <c r="DWX19" s="41"/>
      <c r="DXI19" s="41"/>
      <c r="DXT19" s="41"/>
      <c r="DYE19" s="41"/>
      <c r="DYP19" s="41"/>
      <c r="DZA19" s="41"/>
      <c r="DZL19" s="41"/>
      <c r="DZW19" s="41"/>
      <c r="EAH19" s="41"/>
      <c r="EAS19" s="41"/>
      <c r="EBD19" s="41"/>
      <c r="EBO19" s="41"/>
      <c r="EBZ19" s="41"/>
      <c r="ECK19" s="41"/>
      <c r="ECV19" s="41"/>
      <c r="EDG19" s="41"/>
      <c r="EDR19" s="41"/>
      <c r="EEC19" s="41"/>
      <c r="EEN19" s="41"/>
      <c r="EEY19" s="41"/>
      <c r="EFJ19" s="41"/>
      <c r="EFU19" s="41"/>
      <c r="EGF19" s="41"/>
      <c r="EGQ19" s="41"/>
      <c r="EHB19" s="41"/>
      <c r="EHM19" s="41"/>
      <c r="EHX19" s="41"/>
      <c r="EII19" s="41"/>
      <c r="EIT19" s="41"/>
      <c r="EJE19" s="41"/>
      <c r="EJP19" s="41"/>
      <c r="EKA19" s="41"/>
      <c r="EKL19" s="41"/>
      <c r="EKW19" s="41"/>
      <c r="ELH19" s="41"/>
      <c r="ELS19" s="41"/>
      <c r="EMD19" s="41"/>
      <c r="EMO19" s="41"/>
      <c r="EMZ19" s="41"/>
      <c r="ENK19" s="41"/>
      <c r="ENV19" s="41"/>
      <c r="EOG19" s="41"/>
      <c r="EOR19" s="41"/>
      <c r="EPC19" s="41"/>
      <c r="EPN19" s="41"/>
      <c r="EPY19" s="41"/>
      <c r="EQJ19" s="41"/>
      <c r="EQU19" s="41"/>
      <c r="ERF19" s="41"/>
      <c r="ERQ19" s="41"/>
      <c r="ESB19" s="41"/>
      <c r="ESM19" s="41"/>
      <c r="ESX19" s="41"/>
      <c r="ETI19" s="41"/>
      <c r="ETT19" s="41"/>
      <c r="EUE19" s="41"/>
      <c r="EUP19" s="41"/>
      <c r="EVA19" s="41"/>
      <c r="EVL19" s="41"/>
      <c r="EVW19" s="41"/>
      <c r="EWH19" s="41"/>
      <c r="EWS19" s="41"/>
      <c r="EXD19" s="41"/>
      <c r="EXO19" s="41"/>
      <c r="EXZ19" s="41"/>
      <c r="EYK19" s="41"/>
      <c r="EYV19" s="41"/>
      <c r="EZG19" s="41"/>
      <c r="EZR19" s="41"/>
      <c r="FAC19" s="41"/>
      <c r="FAN19" s="41"/>
      <c r="FAY19" s="41"/>
      <c r="FBJ19" s="41"/>
      <c r="FBU19" s="41"/>
      <c r="FCF19" s="41"/>
      <c r="FCQ19" s="41"/>
      <c r="FDB19" s="41"/>
      <c r="FDM19" s="41"/>
      <c r="FDX19" s="41"/>
      <c r="FEI19" s="41"/>
      <c r="FET19" s="41"/>
      <c r="FFE19" s="41"/>
      <c r="FFP19" s="41"/>
      <c r="FGA19" s="41"/>
      <c r="FGL19" s="41"/>
      <c r="FGW19" s="41"/>
      <c r="FHH19" s="41"/>
      <c r="FHS19" s="41"/>
      <c r="FID19" s="41"/>
      <c r="FIO19" s="41"/>
      <c r="FIZ19" s="41"/>
      <c r="FJK19" s="41"/>
      <c r="FJV19" s="41"/>
      <c r="FKG19" s="41"/>
      <c r="FKR19" s="41"/>
      <c r="FLC19" s="41"/>
      <c r="FLN19" s="41"/>
      <c r="FLY19" s="41"/>
      <c r="FMJ19" s="41"/>
      <c r="FMU19" s="41"/>
      <c r="FNF19" s="41"/>
      <c r="FNQ19" s="41"/>
      <c r="FOB19" s="41"/>
      <c r="FOM19" s="41"/>
      <c r="FOX19" s="41"/>
      <c r="FPI19" s="41"/>
      <c r="FPT19" s="41"/>
      <c r="FQE19" s="41"/>
      <c r="FQP19" s="41"/>
      <c r="FRA19" s="41"/>
      <c r="FRL19" s="41"/>
      <c r="FRW19" s="41"/>
      <c r="FSH19" s="41"/>
      <c r="FSS19" s="41"/>
      <c r="FTD19" s="41"/>
      <c r="FTO19" s="41"/>
      <c r="FTZ19" s="41"/>
      <c r="FUK19" s="41"/>
      <c r="FUV19" s="41"/>
      <c r="FVG19" s="41"/>
      <c r="FVR19" s="41"/>
      <c r="FWC19" s="41"/>
      <c r="FWN19" s="41"/>
      <c r="FWY19" s="41"/>
      <c r="FXJ19" s="41"/>
      <c r="FXU19" s="41"/>
      <c r="FYF19" s="41"/>
      <c r="FYQ19" s="41"/>
      <c r="FZB19" s="41"/>
      <c r="FZM19" s="41"/>
      <c r="FZX19" s="41"/>
      <c r="GAI19" s="41"/>
      <c r="GAT19" s="41"/>
      <c r="GBE19" s="41"/>
      <c r="GBP19" s="41"/>
      <c r="GCA19" s="41"/>
      <c r="GCL19" s="41"/>
      <c r="GCW19" s="41"/>
      <c r="GDH19" s="41"/>
      <c r="GDS19" s="41"/>
      <c r="GED19" s="41"/>
      <c r="GEO19" s="41"/>
      <c r="GEZ19" s="41"/>
      <c r="GFK19" s="41"/>
      <c r="GFV19" s="41"/>
      <c r="GGG19" s="41"/>
      <c r="GGR19" s="41"/>
      <c r="GHC19" s="41"/>
      <c r="GHN19" s="41"/>
      <c r="GHY19" s="41"/>
      <c r="GIJ19" s="41"/>
      <c r="GIU19" s="41"/>
      <c r="GJF19" s="41"/>
      <c r="GJQ19" s="41"/>
      <c r="GKB19" s="41"/>
      <c r="GKM19" s="41"/>
      <c r="GKX19" s="41"/>
      <c r="GLI19" s="41"/>
      <c r="GLT19" s="41"/>
      <c r="GME19" s="41"/>
      <c r="GMP19" s="41"/>
      <c r="GNA19" s="41"/>
      <c r="GNL19" s="41"/>
      <c r="GNW19" s="41"/>
      <c r="GOH19" s="41"/>
      <c r="GOS19" s="41"/>
      <c r="GPD19" s="41"/>
      <c r="GPO19" s="41"/>
      <c r="GPZ19" s="41"/>
      <c r="GQK19" s="41"/>
      <c r="GQV19" s="41"/>
      <c r="GRG19" s="41"/>
      <c r="GRR19" s="41"/>
      <c r="GSC19" s="41"/>
      <c r="GSN19" s="41"/>
      <c r="GSY19" s="41"/>
      <c r="GTJ19" s="41"/>
      <c r="GTU19" s="41"/>
      <c r="GUF19" s="41"/>
      <c r="GUQ19" s="41"/>
      <c r="GVB19" s="41"/>
      <c r="GVM19" s="41"/>
      <c r="GVX19" s="41"/>
      <c r="GWI19" s="41"/>
      <c r="GWT19" s="41"/>
      <c r="GXE19" s="41"/>
      <c r="GXP19" s="41"/>
      <c r="GYA19" s="41"/>
      <c r="GYL19" s="41"/>
      <c r="GYW19" s="41"/>
      <c r="GZH19" s="41"/>
      <c r="GZS19" s="41"/>
      <c r="HAD19" s="41"/>
      <c r="HAO19" s="41"/>
      <c r="HAZ19" s="41"/>
      <c r="HBK19" s="41"/>
      <c r="HBV19" s="41"/>
      <c r="HCG19" s="41"/>
      <c r="HCR19" s="41"/>
      <c r="HDC19" s="41"/>
      <c r="HDN19" s="41"/>
      <c r="HDY19" s="41"/>
      <c r="HEJ19" s="41"/>
      <c r="HEU19" s="41"/>
      <c r="HFF19" s="41"/>
      <c r="HFQ19" s="41"/>
      <c r="HGB19" s="41"/>
      <c r="HGM19" s="41"/>
      <c r="HGX19" s="41"/>
      <c r="HHI19" s="41"/>
      <c r="HHT19" s="41"/>
      <c r="HIE19" s="41"/>
      <c r="HIP19" s="41"/>
      <c r="HJA19" s="41"/>
      <c r="HJL19" s="41"/>
      <c r="HJW19" s="41"/>
      <c r="HKH19" s="41"/>
      <c r="HKS19" s="41"/>
      <c r="HLD19" s="41"/>
      <c r="HLO19" s="41"/>
      <c r="HLZ19" s="41"/>
      <c r="HMK19" s="41"/>
      <c r="HMV19" s="41"/>
      <c r="HNG19" s="41"/>
      <c r="HNR19" s="41"/>
      <c r="HOC19" s="41"/>
      <c r="HON19" s="41"/>
      <c r="HOY19" s="41"/>
      <c r="HPJ19" s="41"/>
      <c r="HPU19" s="41"/>
      <c r="HQF19" s="41"/>
      <c r="HQQ19" s="41"/>
      <c r="HRB19" s="41"/>
      <c r="HRM19" s="41"/>
      <c r="HRX19" s="41"/>
      <c r="HSI19" s="41"/>
      <c r="HST19" s="41"/>
      <c r="HTE19" s="41"/>
      <c r="HTP19" s="41"/>
      <c r="HUA19" s="41"/>
      <c r="HUL19" s="41"/>
      <c r="HUW19" s="41"/>
      <c r="HVH19" s="41"/>
      <c r="HVS19" s="41"/>
      <c r="HWD19" s="41"/>
      <c r="HWO19" s="41"/>
      <c r="HWZ19" s="41"/>
      <c r="HXK19" s="41"/>
      <c r="HXV19" s="41"/>
      <c r="HYG19" s="41"/>
      <c r="HYR19" s="41"/>
      <c r="HZC19" s="41"/>
      <c r="HZN19" s="41"/>
      <c r="HZY19" s="41"/>
      <c r="IAJ19" s="41"/>
      <c r="IAU19" s="41"/>
      <c r="IBF19" s="41"/>
      <c r="IBQ19" s="41"/>
      <c r="ICB19" s="41"/>
      <c r="ICM19" s="41"/>
      <c r="ICX19" s="41"/>
      <c r="IDI19" s="41"/>
      <c r="IDT19" s="41"/>
      <c r="IEE19" s="41"/>
      <c r="IEP19" s="41"/>
      <c r="IFA19" s="41"/>
      <c r="IFL19" s="41"/>
      <c r="IFW19" s="41"/>
      <c r="IGH19" s="41"/>
      <c r="IGS19" s="41"/>
      <c r="IHD19" s="41"/>
      <c r="IHO19" s="41"/>
      <c r="IHZ19" s="41"/>
      <c r="IIK19" s="41"/>
      <c r="IIV19" s="41"/>
      <c r="IJG19" s="41"/>
      <c r="IJR19" s="41"/>
      <c r="IKC19" s="41"/>
      <c r="IKN19" s="41"/>
      <c r="IKY19" s="41"/>
      <c r="ILJ19" s="41"/>
      <c r="ILU19" s="41"/>
      <c r="IMF19" s="41"/>
      <c r="IMQ19" s="41"/>
      <c r="INB19" s="41"/>
      <c r="INM19" s="41"/>
      <c r="INX19" s="41"/>
      <c r="IOI19" s="41"/>
      <c r="IOT19" s="41"/>
      <c r="IPE19" s="41"/>
      <c r="IPP19" s="41"/>
      <c r="IQA19" s="41"/>
      <c r="IQL19" s="41"/>
      <c r="IQW19" s="41"/>
      <c r="IRH19" s="41"/>
      <c r="IRS19" s="41"/>
      <c r="ISD19" s="41"/>
      <c r="ISO19" s="41"/>
      <c r="ISZ19" s="41"/>
      <c r="ITK19" s="41"/>
      <c r="ITV19" s="41"/>
      <c r="IUG19" s="41"/>
      <c r="IUR19" s="41"/>
      <c r="IVC19" s="41"/>
      <c r="IVN19" s="41"/>
      <c r="IVY19" s="41"/>
      <c r="IWJ19" s="41"/>
      <c r="IWU19" s="41"/>
      <c r="IXF19" s="41"/>
      <c r="IXQ19" s="41"/>
      <c r="IYB19" s="41"/>
      <c r="IYM19" s="41"/>
      <c r="IYX19" s="41"/>
      <c r="IZI19" s="41"/>
      <c r="IZT19" s="41"/>
      <c r="JAE19" s="41"/>
      <c r="JAP19" s="41"/>
      <c r="JBA19" s="41"/>
      <c r="JBL19" s="41"/>
      <c r="JBW19" s="41"/>
      <c r="JCH19" s="41"/>
      <c r="JCS19" s="41"/>
      <c r="JDD19" s="41"/>
      <c r="JDO19" s="41"/>
      <c r="JDZ19" s="41"/>
      <c r="JEK19" s="41"/>
      <c r="JEV19" s="41"/>
      <c r="JFG19" s="41"/>
      <c r="JFR19" s="41"/>
      <c r="JGC19" s="41"/>
      <c r="JGN19" s="41"/>
      <c r="JGY19" s="41"/>
      <c r="JHJ19" s="41"/>
      <c r="JHU19" s="41"/>
      <c r="JIF19" s="41"/>
      <c r="JIQ19" s="41"/>
      <c r="JJB19" s="41"/>
      <c r="JJM19" s="41"/>
      <c r="JJX19" s="41"/>
      <c r="JKI19" s="41"/>
      <c r="JKT19" s="41"/>
      <c r="JLE19" s="41"/>
      <c r="JLP19" s="41"/>
      <c r="JMA19" s="41"/>
      <c r="JML19" s="41"/>
      <c r="JMW19" s="41"/>
      <c r="JNH19" s="41"/>
      <c r="JNS19" s="41"/>
      <c r="JOD19" s="41"/>
      <c r="JOO19" s="41"/>
      <c r="JOZ19" s="41"/>
      <c r="JPK19" s="41"/>
      <c r="JPV19" s="41"/>
      <c r="JQG19" s="41"/>
      <c r="JQR19" s="41"/>
      <c r="JRC19" s="41"/>
      <c r="JRN19" s="41"/>
      <c r="JRY19" s="41"/>
      <c r="JSJ19" s="41"/>
      <c r="JSU19" s="41"/>
      <c r="JTF19" s="41"/>
      <c r="JTQ19" s="41"/>
      <c r="JUB19" s="41"/>
      <c r="JUM19" s="41"/>
      <c r="JUX19" s="41"/>
      <c r="JVI19" s="41"/>
      <c r="JVT19" s="41"/>
      <c r="JWE19" s="41"/>
      <c r="JWP19" s="41"/>
      <c r="JXA19" s="41"/>
      <c r="JXL19" s="41"/>
      <c r="JXW19" s="41"/>
      <c r="JYH19" s="41"/>
      <c r="JYS19" s="41"/>
      <c r="JZD19" s="41"/>
      <c r="JZO19" s="41"/>
      <c r="JZZ19" s="41"/>
      <c r="KAK19" s="41"/>
      <c r="KAV19" s="41"/>
      <c r="KBG19" s="41"/>
      <c r="KBR19" s="41"/>
      <c r="KCC19" s="41"/>
      <c r="KCN19" s="41"/>
      <c r="KCY19" s="41"/>
      <c r="KDJ19" s="41"/>
      <c r="KDU19" s="41"/>
      <c r="KEF19" s="41"/>
      <c r="KEQ19" s="41"/>
      <c r="KFB19" s="41"/>
      <c r="KFM19" s="41"/>
      <c r="KFX19" s="41"/>
      <c r="KGI19" s="41"/>
      <c r="KGT19" s="41"/>
      <c r="KHE19" s="41"/>
      <c r="KHP19" s="41"/>
      <c r="KIA19" s="41"/>
      <c r="KIL19" s="41"/>
      <c r="KIW19" s="41"/>
      <c r="KJH19" s="41"/>
      <c r="KJS19" s="41"/>
      <c r="KKD19" s="41"/>
      <c r="KKO19" s="41"/>
      <c r="KKZ19" s="41"/>
      <c r="KLK19" s="41"/>
      <c r="KLV19" s="41"/>
      <c r="KMG19" s="41"/>
      <c r="KMR19" s="41"/>
      <c r="KNC19" s="41"/>
      <c r="KNN19" s="41"/>
      <c r="KNY19" s="41"/>
      <c r="KOJ19" s="41"/>
      <c r="KOU19" s="41"/>
      <c r="KPF19" s="41"/>
      <c r="KPQ19" s="41"/>
      <c r="KQB19" s="41"/>
      <c r="KQM19" s="41"/>
      <c r="KQX19" s="41"/>
      <c r="KRI19" s="41"/>
      <c r="KRT19" s="41"/>
      <c r="KSE19" s="41"/>
      <c r="KSP19" s="41"/>
      <c r="KTA19" s="41"/>
      <c r="KTL19" s="41"/>
      <c r="KTW19" s="41"/>
      <c r="KUH19" s="41"/>
      <c r="KUS19" s="41"/>
      <c r="KVD19" s="41"/>
      <c r="KVO19" s="41"/>
      <c r="KVZ19" s="41"/>
      <c r="KWK19" s="41"/>
      <c r="KWV19" s="41"/>
      <c r="KXG19" s="41"/>
      <c r="KXR19" s="41"/>
      <c r="KYC19" s="41"/>
      <c r="KYN19" s="41"/>
      <c r="KYY19" s="41"/>
      <c r="KZJ19" s="41"/>
      <c r="KZU19" s="41"/>
      <c r="LAF19" s="41"/>
      <c r="LAQ19" s="41"/>
      <c r="LBB19" s="41"/>
      <c r="LBM19" s="41"/>
      <c r="LBX19" s="41"/>
      <c r="LCI19" s="41"/>
      <c r="LCT19" s="41"/>
      <c r="LDE19" s="41"/>
      <c r="LDP19" s="41"/>
      <c r="LEA19" s="41"/>
      <c r="LEL19" s="41"/>
      <c r="LEW19" s="41"/>
      <c r="LFH19" s="41"/>
      <c r="LFS19" s="41"/>
      <c r="LGD19" s="41"/>
      <c r="LGO19" s="41"/>
      <c r="LGZ19" s="41"/>
      <c r="LHK19" s="41"/>
      <c r="LHV19" s="41"/>
      <c r="LIG19" s="41"/>
      <c r="LIR19" s="41"/>
      <c r="LJC19" s="41"/>
      <c r="LJN19" s="41"/>
      <c r="LJY19" s="41"/>
      <c r="LKJ19" s="41"/>
      <c r="LKU19" s="41"/>
      <c r="LLF19" s="41"/>
      <c r="LLQ19" s="41"/>
      <c r="LMB19" s="41"/>
      <c r="LMM19" s="41"/>
      <c r="LMX19" s="41"/>
      <c r="LNI19" s="41"/>
      <c r="LNT19" s="41"/>
      <c r="LOE19" s="41"/>
      <c r="LOP19" s="41"/>
      <c r="LPA19" s="41"/>
      <c r="LPL19" s="41"/>
      <c r="LPW19" s="41"/>
      <c r="LQH19" s="41"/>
      <c r="LQS19" s="41"/>
      <c r="LRD19" s="41"/>
      <c r="LRO19" s="41"/>
      <c r="LRZ19" s="41"/>
      <c r="LSK19" s="41"/>
      <c r="LSV19" s="41"/>
      <c r="LTG19" s="41"/>
      <c r="LTR19" s="41"/>
      <c r="LUC19" s="41"/>
      <c r="LUN19" s="41"/>
      <c r="LUY19" s="41"/>
      <c r="LVJ19" s="41"/>
      <c r="LVU19" s="41"/>
      <c r="LWF19" s="41"/>
      <c r="LWQ19" s="41"/>
      <c r="LXB19" s="41"/>
      <c r="LXM19" s="41"/>
      <c r="LXX19" s="41"/>
      <c r="LYI19" s="41"/>
      <c r="LYT19" s="41"/>
      <c r="LZE19" s="41"/>
      <c r="LZP19" s="41"/>
      <c r="MAA19" s="41"/>
      <c r="MAL19" s="41"/>
      <c r="MAW19" s="41"/>
      <c r="MBH19" s="41"/>
      <c r="MBS19" s="41"/>
      <c r="MCD19" s="41"/>
      <c r="MCO19" s="41"/>
      <c r="MCZ19" s="41"/>
      <c r="MDK19" s="41"/>
      <c r="MDV19" s="41"/>
      <c r="MEG19" s="41"/>
      <c r="MER19" s="41"/>
      <c r="MFC19" s="41"/>
      <c r="MFN19" s="41"/>
      <c r="MFY19" s="41"/>
      <c r="MGJ19" s="41"/>
      <c r="MGU19" s="41"/>
      <c r="MHF19" s="41"/>
      <c r="MHQ19" s="41"/>
      <c r="MIB19" s="41"/>
      <c r="MIM19" s="41"/>
      <c r="MIX19" s="41"/>
      <c r="MJI19" s="41"/>
      <c r="MJT19" s="41"/>
      <c r="MKE19" s="41"/>
      <c r="MKP19" s="41"/>
      <c r="MLA19" s="41"/>
      <c r="MLL19" s="41"/>
      <c r="MLW19" s="41"/>
      <c r="MMH19" s="41"/>
      <c r="MMS19" s="41"/>
      <c r="MND19" s="41"/>
      <c r="MNO19" s="41"/>
      <c r="MNZ19" s="41"/>
      <c r="MOK19" s="41"/>
      <c r="MOV19" s="41"/>
      <c r="MPG19" s="41"/>
      <c r="MPR19" s="41"/>
      <c r="MQC19" s="41"/>
      <c r="MQN19" s="41"/>
      <c r="MQY19" s="41"/>
      <c r="MRJ19" s="41"/>
      <c r="MRU19" s="41"/>
      <c r="MSF19" s="41"/>
      <c r="MSQ19" s="41"/>
      <c r="MTB19" s="41"/>
      <c r="MTM19" s="41"/>
      <c r="MTX19" s="41"/>
      <c r="MUI19" s="41"/>
      <c r="MUT19" s="41"/>
      <c r="MVE19" s="41"/>
      <c r="MVP19" s="41"/>
      <c r="MWA19" s="41"/>
      <c r="MWL19" s="41"/>
      <c r="MWW19" s="41"/>
      <c r="MXH19" s="41"/>
      <c r="MXS19" s="41"/>
      <c r="MYD19" s="41"/>
      <c r="MYO19" s="41"/>
      <c r="MYZ19" s="41"/>
      <c r="MZK19" s="41"/>
      <c r="MZV19" s="41"/>
      <c r="NAG19" s="41"/>
      <c r="NAR19" s="41"/>
      <c r="NBC19" s="41"/>
      <c r="NBN19" s="41"/>
      <c r="NBY19" s="41"/>
      <c r="NCJ19" s="41"/>
      <c r="NCU19" s="41"/>
      <c r="NDF19" s="41"/>
      <c r="NDQ19" s="41"/>
      <c r="NEB19" s="41"/>
      <c r="NEM19" s="41"/>
      <c r="NEX19" s="41"/>
      <c r="NFI19" s="41"/>
      <c r="NFT19" s="41"/>
      <c r="NGE19" s="41"/>
      <c r="NGP19" s="41"/>
      <c r="NHA19" s="41"/>
      <c r="NHL19" s="41"/>
      <c r="NHW19" s="41"/>
      <c r="NIH19" s="41"/>
      <c r="NIS19" s="41"/>
      <c r="NJD19" s="41"/>
      <c r="NJO19" s="41"/>
      <c r="NJZ19" s="41"/>
      <c r="NKK19" s="41"/>
      <c r="NKV19" s="41"/>
      <c r="NLG19" s="41"/>
      <c r="NLR19" s="41"/>
      <c r="NMC19" s="41"/>
      <c r="NMN19" s="41"/>
      <c r="NMY19" s="41"/>
      <c r="NNJ19" s="41"/>
      <c r="NNU19" s="41"/>
      <c r="NOF19" s="41"/>
      <c r="NOQ19" s="41"/>
      <c r="NPB19" s="41"/>
      <c r="NPM19" s="41"/>
      <c r="NPX19" s="41"/>
      <c r="NQI19" s="41"/>
      <c r="NQT19" s="41"/>
      <c r="NRE19" s="41"/>
      <c r="NRP19" s="41"/>
      <c r="NSA19" s="41"/>
      <c r="NSL19" s="41"/>
      <c r="NSW19" s="41"/>
      <c r="NTH19" s="41"/>
      <c r="NTS19" s="41"/>
      <c r="NUD19" s="41"/>
      <c r="NUO19" s="41"/>
      <c r="NUZ19" s="41"/>
      <c r="NVK19" s="41"/>
      <c r="NVV19" s="41"/>
      <c r="NWG19" s="41"/>
      <c r="NWR19" s="41"/>
      <c r="NXC19" s="41"/>
      <c r="NXN19" s="41"/>
      <c r="NXY19" s="41"/>
      <c r="NYJ19" s="41"/>
      <c r="NYU19" s="41"/>
      <c r="NZF19" s="41"/>
      <c r="NZQ19" s="41"/>
      <c r="OAB19" s="41"/>
      <c r="OAM19" s="41"/>
      <c r="OAX19" s="41"/>
      <c r="OBI19" s="41"/>
      <c r="OBT19" s="41"/>
      <c r="OCE19" s="41"/>
      <c r="OCP19" s="41"/>
      <c r="ODA19" s="41"/>
      <c r="ODL19" s="41"/>
      <c r="ODW19" s="41"/>
      <c r="OEH19" s="41"/>
      <c r="OES19" s="41"/>
      <c r="OFD19" s="41"/>
      <c r="OFO19" s="41"/>
      <c r="OFZ19" s="41"/>
      <c r="OGK19" s="41"/>
      <c r="OGV19" s="41"/>
      <c r="OHG19" s="41"/>
      <c r="OHR19" s="41"/>
      <c r="OIC19" s="41"/>
      <c r="OIN19" s="41"/>
      <c r="OIY19" s="41"/>
      <c r="OJJ19" s="41"/>
      <c r="OJU19" s="41"/>
      <c r="OKF19" s="41"/>
      <c r="OKQ19" s="41"/>
      <c r="OLB19" s="41"/>
      <c r="OLM19" s="41"/>
      <c r="OLX19" s="41"/>
      <c r="OMI19" s="41"/>
      <c r="OMT19" s="41"/>
      <c r="ONE19" s="41"/>
      <c r="ONP19" s="41"/>
      <c r="OOA19" s="41"/>
      <c r="OOL19" s="41"/>
      <c r="OOW19" s="41"/>
      <c r="OPH19" s="41"/>
      <c r="OPS19" s="41"/>
      <c r="OQD19" s="41"/>
      <c r="OQO19" s="41"/>
      <c r="OQZ19" s="41"/>
      <c r="ORK19" s="41"/>
      <c r="ORV19" s="41"/>
      <c r="OSG19" s="41"/>
      <c r="OSR19" s="41"/>
      <c r="OTC19" s="41"/>
      <c r="OTN19" s="41"/>
      <c r="OTY19" s="41"/>
      <c r="OUJ19" s="41"/>
      <c r="OUU19" s="41"/>
      <c r="OVF19" s="41"/>
      <c r="OVQ19" s="41"/>
      <c r="OWB19" s="41"/>
      <c r="OWM19" s="41"/>
      <c r="OWX19" s="41"/>
      <c r="OXI19" s="41"/>
      <c r="OXT19" s="41"/>
      <c r="OYE19" s="41"/>
      <c r="OYP19" s="41"/>
      <c r="OZA19" s="41"/>
      <c r="OZL19" s="41"/>
      <c r="OZW19" s="41"/>
      <c r="PAH19" s="41"/>
      <c r="PAS19" s="41"/>
      <c r="PBD19" s="41"/>
      <c r="PBO19" s="41"/>
      <c r="PBZ19" s="41"/>
      <c r="PCK19" s="41"/>
      <c r="PCV19" s="41"/>
      <c r="PDG19" s="41"/>
      <c r="PDR19" s="41"/>
      <c r="PEC19" s="41"/>
      <c r="PEN19" s="41"/>
      <c r="PEY19" s="41"/>
      <c r="PFJ19" s="41"/>
      <c r="PFU19" s="41"/>
      <c r="PGF19" s="41"/>
      <c r="PGQ19" s="41"/>
      <c r="PHB19" s="41"/>
      <c r="PHM19" s="41"/>
      <c r="PHX19" s="41"/>
      <c r="PII19" s="41"/>
      <c r="PIT19" s="41"/>
      <c r="PJE19" s="41"/>
      <c r="PJP19" s="41"/>
      <c r="PKA19" s="41"/>
      <c r="PKL19" s="41"/>
      <c r="PKW19" s="41"/>
      <c r="PLH19" s="41"/>
      <c r="PLS19" s="41"/>
      <c r="PMD19" s="41"/>
      <c r="PMO19" s="41"/>
      <c r="PMZ19" s="41"/>
      <c r="PNK19" s="41"/>
      <c r="PNV19" s="41"/>
      <c r="POG19" s="41"/>
      <c r="POR19" s="41"/>
      <c r="PPC19" s="41"/>
      <c r="PPN19" s="41"/>
      <c r="PPY19" s="41"/>
      <c r="PQJ19" s="41"/>
      <c r="PQU19" s="41"/>
      <c r="PRF19" s="41"/>
      <c r="PRQ19" s="41"/>
      <c r="PSB19" s="41"/>
      <c r="PSM19" s="41"/>
      <c r="PSX19" s="41"/>
      <c r="PTI19" s="41"/>
      <c r="PTT19" s="41"/>
      <c r="PUE19" s="41"/>
      <c r="PUP19" s="41"/>
      <c r="PVA19" s="41"/>
      <c r="PVL19" s="41"/>
      <c r="PVW19" s="41"/>
      <c r="PWH19" s="41"/>
      <c r="PWS19" s="41"/>
      <c r="PXD19" s="41"/>
      <c r="PXO19" s="41"/>
      <c r="PXZ19" s="41"/>
      <c r="PYK19" s="41"/>
      <c r="PYV19" s="41"/>
      <c r="PZG19" s="41"/>
      <c r="PZR19" s="41"/>
      <c r="QAC19" s="41"/>
      <c r="QAN19" s="41"/>
      <c r="QAY19" s="41"/>
      <c r="QBJ19" s="41"/>
      <c r="QBU19" s="41"/>
      <c r="QCF19" s="41"/>
      <c r="QCQ19" s="41"/>
      <c r="QDB19" s="41"/>
      <c r="QDM19" s="41"/>
      <c r="QDX19" s="41"/>
      <c r="QEI19" s="41"/>
      <c r="QET19" s="41"/>
      <c r="QFE19" s="41"/>
      <c r="QFP19" s="41"/>
      <c r="QGA19" s="41"/>
      <c r="QGL19" s="41"/>
      <c r="QGW19" s="41"/>
      <c r="QHH19" s="41"/>
      <c r="QHS19" s="41"/>
      <c r="QID19" s="41"/>
      <c r="QIO19" s="41"/>
      <c r="QIZ19" s="41"/>
      <c r="QJK19" s="41"/>
      <c r="QJV19" s="41"/>
      <c r="QKG19" s="41"/>
      <c r="QKR19" s="41"/>
      <c r="QLC19" s="41"/>
      <c r="QLN19" s="41"/>
      <c r="QLY19" s="41"/>
      <c r="QMJ19" s="41"/>
      <c r="QMU19" s="41"/>
      <c r="QNF19" s="41"/>
      <c r="QNQ19" s="41"/>
      <c r="QOB19" s="41"/>
      <c r="QOM19" s="41"/>
      <c r="QOX19" s="41"/>
      <c r="QPI19" s="41"/>
      <c r="QPT19" s="41"/>
      <c r="QQE19" s="41"/>
      <c r="QQP19" s="41"/>
      <c r="QRA19" s="41"/>
      <c r="QRL19" s="41"/>
      <c r="QRW19" s="41"/>
      <c r="QSH19" s="41"/>
      <c r="QSS19" s="41"/>
      <c r="QTD19" s="41"/>
      <c r="QTO19" s="41"/>
      <c r="QTZ19" s="41"/>
      <c r="QUK19" s="41"/>
      <c r="QUV19" s="41"/>
      <c r="QVG19" s="41"/>
      <c r="QVR19" s="41"/>
      <c r="QWC19" s="41"/>
      <c r="QWN19" s="41"/>
      <c r="QWY19" s="41"/>
      <c r="QXJ19" s="41"/>
      <c r="QXU19" s="41"/>
      <c r="QYF19" s="41"/>
      <c r="QYQ19" s="41"/>
      <c r="QZB19" s="41"/>
      <c r="QZM19" s="41"/>
      <c r="QZX19" s="41"/>
      <c r="RAI19" s="41"/>
      <c r="RAT19" s="41"/>
      <c r="RBE19" s="41"/>
      <c r="RBP19" s="41"/>
      <c r="RCA19" s="41"/>
      <c r="RCL19" s="41"/>
      <c r="RCW19" s="41"/>
      <c r="RDH19" s="41"/>
      <c r="RDS19" s="41"/>
      <c r="RED19" s="41"/>
      <c r="REO19" s="41"/>
      <c r="REZ19" s="41"/>
      <c r="RFK19" s="41"/>
      <c r="RFV19" s="41"/>
      <c r="RGG19" s="41"/>
      <c r="RGR19" s="41"/>
      <c r="RHC19" s="41"/>
      <c r="RHN19" s="41"/>
      <c r="RHY19" s="41"/>
      <c r="RIJ19" s="41"/>
      <c r="RIU19" s="41"/>
      <c r="RJF19" s="41"/>
      <c r="RJQ19" s="41"/>
      <c r="RKB19" s="41"/>
      <c r="RKM19" s="41"/>
      <c r="RKX19" s="41"/>
      <c r="RLI19" s="41"/>
      <c r="RLT19" s="41"/>
      <c r="RME19" s="41"/>
      <c r="RMP19" s="41"/>
      <c r="RNA19" s="41"/>
      <c r="RNL19" s="41"/>
      <c r="RNW19" s="41"/>
      <c r="ROH19" s="41"/>
      <c r="ROS19" s="41"/>
      <c r="RPD19" s="41"/>
      <c r="RPO19" s="41"/>
      <c r="RPZ19" s="41"/>
      <c r="RQK19" s="41"/>
      <c r="RQV19" s="41"/>
      <c r="RRG19" s="41"/>
      <c r="RRR19" s="41"/>
      <c r="RSC19" s="41"/>
      <c r="RSN19" s="41"/>
      <c r="RSY19" s="41"/>
      <c r="RTJ19" s="41"/>
      <c r="RTU19" s="41"/>
      <c r="RUF19" s="41"/>
      <c r="RUQ19" s="41"/>
      <c r="RVB19" s="41"/>
      <c r="RVM19" s="41"/>
      <c r="RVX19" s="41"/>
      <c r="RWI19" s="41"/>
      <c r="RWT19" s="41"/>
      <c r="RXE19" s="41"/>
      <c r="RXP19" s="41"/>
      <c r="RYA19" s="41"/>
      <c r="RYL19" s="41"/>
      <c r="RYW19" s="41"/>
      <c r="RZH19" s="41"/>
      <c r="RZS19" s="41"/>
      <c r="SAD19" s="41"/>
      <c r="SAO19" s="41"/>
      <c r="SAZ19" s="41"/>
      <c r="SBK19" s="41"/>
      <c r="SBV19" s="41"/>
      <c r="SCG19" s="41"/>
      <c r="SCR19" s="41"/>
      <c r="SDC19" s="41"/>
      <c r="SDN19" s="41"/>
      <c r="SDY19" s="41"/>
      <c r="SEJ19" s="41"/>
      <c r="SEU19" s="41"/>
      <c r="SFF19" s="41"/>
      <c r="SFQ19" s="41"/>
      <c r="SGB19" s="41"/>
      <c r="SGM19" s="41"/>
      <c r="SGX19" s="41"/>
      <c r="SHI19" s="41"/>
      <c r="SHT19" s="41"/>
      <c r="SIE19" s="41"/>
      <c r="SIP19" s="41"/>
      <c r="SJA19" s="41"/>
      <c r="SJL19" s="41"/>
      <c r="SJW19" s="41"/>
      <c r="SKH19" s="41"/>
      <c r="SKS19" s="41"/>
      <c r="SLD19" s="41"/>
      <c r="SLO19" s="41"/>
      <c r="SLZ19" s="41"/>
      <c r="SMK19" s="41"/>
      <c r="SMV19" s="41"/>
      <c r="SNG19" s="41"/>
      <c r="SNR19" s="41"/>
      <c r="SOC19" s="41"/>
      <c r="SON19" s="41"/>
      <c r="SOY19" s="41"/>
      <c r="SPJ19" s="41"/>
      <c r="SPU19" s="41"/>
      <c r="SQF19" s="41"/>
      <c r="SQQ19" s="41"/>
      <c r="SRB19" s="41"/>
      <c r="SRM19" s="41"/>
      <c r="SRX19" s="41"/>
      <c r="SSI19" s="41"/>
      <c r="SST19" s="41"/>
      <c r="STE19" s="41"/>
      <c r="STP19" s="41"/>
      <c r="SUA19" s="41"/>
      <c r="SUL19" s="41"/>
      <c r="SUW19" s="41"/>
      <c r="SVH19" s="41"/>
      <c r="SVS19" s="41"/>
      <c r="SWD19" s="41"/>
      <c r="SWO19" s="41"/>
      <c r="SWZ19" s="41"/>
      <c r="SXK19" s="41"/>
      <c r="SXV19" s="41"/>
      <c r="SYG19" s="41"/>
      <c r="SYR19" s="41"/>
      <c r="SZC19" s="41"/>
      <c r="SZN19" s="41"/>
      <c r="SZY19" s="41"/>
      <c r="TAJ19" s="41"/>
      <c r="TAU19" s="41"/>
      <c r="TBF19" s="41"/>
      <c r="TBQ19" s="41"/>
      <c r="TCB19" s="41"/>
      <c r="TCM19" s="41"/>
      <c r="TCX19" s="41"/>
      <c r="TDI19" s="41"/>
      <c r="TDT19" s="41"/>
      <c r="TEE19" s="41"/>
      <c r="TEP19" s="41"/>
      <c r="TFA19" s="41"/>
      <c r="TFL19" s="41"/>
      <c r="TFW19" s="41"/>
      <c r="TGH19" s="41"/>
      <c r="TGS19" s="41"/>
      <c r="THD19" s="41"/>
      <c r="THO19" s="41"/>
      <c r="THZ19" s="41"/>
      <c r="TIK19" s="41"/>
      <c r="TIV19" s="41"/>
      <c r="TJG19" s="41"/>
      <c r="TJR19" s="41"/>
      <c r="TKC19" s="41"/>
      <c r="TKN19" s="41"/>
      <c r="TKY19" s="41"/>
      <c r="TLJ19" s="41"/>
      <c r="TLU19" s="41"/>
      <c r="TMF19" s="41"/>
      <c r="TMQ19" s="41"/>
      <c r="TNB19" s="41"/>
      <c r="TNM19" s="41"/>
      <c r="TNX19" s="41"/>
      <c r="TOI19" s="41"/>
      <c r="TOT19" s="41"/>
      <c r="TPE19" s="41"/>
      <c r="TPP19" s="41"/>
      <c r="TQA19" s="41"/>
      <c r="TQL19" s="41"/>
      <c r="TQW19" s="41"/>
      <c r="TRH19" s="41"/>
      <c r="TRS19" s="41"/>
      <c r="TSD19" s="41"/>
      <c r="TSO19" s="41"/>
      <c r="TSZ19" s="41"/>
      <c r="TTK19" s="41"/>
      <c r="TTV19" s="41"/>
      <c r="TUG19" s="41"/>
      <c r="TUR19" s="41"/>
      <c r="TVC19" s="41"/>
      <c r="TVN19" s="41"/>
      <c r="TVY19" s="41"/>
      <c r="TWJ19" s="41"/>
      <c r="TWU19" s="41"/>
      <c r="TXF19" s="41"/>
      <c r="TXQ19" s="41"/>
      <c r="TYB19" s="41"/>
      <c r="TYM19" s="41"/>
      <c r="TYX19" s="41"/>
      <c r="TZI19" s="41"/>
      <c r="TZT19" s="41"/>
      <c r="UAE19" s="41"/>
      <c r="UAP19" s="41"/>
      <c r="UBA19" s="41"/>
      <c r="UBL19" s="41"/>
      <c r="UBW19" s="41"/>
      <c r="UCH19" s="41"/>
      <c r="UCS19" s="41"/>
      <c r="UDD19" s="41"/>
      <c r="UDO19" s="41"/>
      <c r="UDZ19" s="41"/>
      <c r="UEK19" s="41"/>
      <c r="UEV19" s="41"/>
      <c r="UFG19" s="41"/>
      <c r="UFR19" s="41"/>
      <c r="UGC19" s="41"/>
      <c r="UGN19" s="41"/>
      <c r="UGY19" s="41"/>
      <c r="UHJ19" s="41"/>
      <c r="UHU19" s="41"/>
      <c r="UIF19" s="41"/>
      <c r="UIQ19" s="41"/>
      <c r="UJB19" s="41"/>
      <c r="UJM19" s="41"/>
      <c r="UJX19" s="41"/>
      <c r="UKI19" s="41"/>
      <c r="UKT19" s="41"/>
      <c r="ULE19" s="41"/>
      <c r="ULP19" s="41"/>
      <c r="UMA19" s="41"/>
      <c r="UML19" s="41"/>
      <c r="UMW19" s="41"/>
      <c r="UNH19" s="41"/>
      <c r="UNS19" s="41"/>
      <c r="UOD19" s="41"/>
      <c r="UOO19" s="41"/>
      <c r="UOZ19" s="41"/>
      <c r="UPK19" s="41"/>
      <c r="UPV19" s="41"/>
      <c r="UQG19" s="41"/>
      <c r="UQR19" s="41"/>
      <c r="URC19" s="41"/>
      <c r="URN19" s="41"/>
      <c r="URY19" s="41"/>
      <c r="USJ19" s="41"/>
      <c r="USU19" s="41"/>
      <c r="UTF19" s="41"/>
      <c r="UTQ19" s="41"/>
      <c r="UUB19" s="41"/>
      <c r="UUM19" s="41"/>
      <c r="UUX19" s="41"/>
      <c r="UVI19" s="41"/>
      <c r="UVT19" s="41"/>
      <c r="UWE19" s="41"/>
      <c r="UWP19" s="41"/>
      <c r="UXA19" s="41"/>
      <c r="UXL19" s="41"/>
      <c r="UXW19" s="41"/>
      <c r="UYH19" s="41"/>
      <c r="UYS19" s="41"/>
      <c r="UZD19" s="41"/>
      <c r="UZO19" s="41"/>
      <c r="UZZ19" s="41"/>
      <c r="VAK19" s="41"/>
      <c r="VAV19" s="41"/>
      <c r="VBG19" s="41"/>
      <c r="VBR19" s="41"/>
      <c r="VCC19" s="41"/>
      <c r="VCN19" s="41"/>
      <c r="VCY19" s="41"/>
      <c r="VDJ19" s="41"/>
      <c r="VDU19" s="41"/>
      <c r="VEF19" s="41"/>
      <c r="VEQ19" s="41"/>
      <c r="VFB19" s="41"/>
      <c r="VFM19" s="41"/>
      <c r="VFX19" s="41"/>
      <c r="VGI19" s="41"/>
      <c r="VGT19" s="41"/>
      <c r="VHE19" s="41"/>
      <c r="VHP19" s="41"/>
      <c r="VIA19" s="41"/>
      <c r="VIL19" s="41"/>
      <c r="VIW19" s="41"/>
      <c r="VJH19" s="41"/>
      <c r="VJS19" s="41"/>
      <c r="VKD19" s="41"/>
      <c r="VKO19" s="41"/>
      <c r="VKZ19" s="41"/>
      <c r="VLK19" s="41"/>
      <c r="VLV19" s="41"/>
      <c r="VMG19" s="41"/>
      <c r="VMR19" s="41"/>
      <c r="VNC19" s="41"/>
      <c r="VNN19" s="41"/>
      <c r="VNY19" s="41"/>
      <c r="VOJ19" s="41"/>
      <c r="VOU19" s="41"/>
      <c r="VPF19" s="41"/>
      <c r="VPQ19" s="41"/>
      <c r="VQB19" s="41"/>
      <c r="VQM19" s="41"/>
      <c r="VQX19" s="41"/>
      <c r="VRI19" s="41"/>
      <c r="VRT19" s="41"/>
      <c r="VSE19" s="41"/>
      <c r="VSP19" s="41"/>
      <c r="VTA19" s="41"/>
      <c r="VTL19" s="41"/>
      <c r="VTW19" s="41"/>
      <c r="VUH19" s="41"/>
      <c r="VUS19" s="41"/>
      <c r="VVD19" s="41"/>
      <c r="VVO19" s="41"/>
      <c r="VVZ19" s="41"/>
      <c r="VWK19" s="41"/>
      <c r="VWV19" s="41"/>
      <c r="VXG19" s="41"/>
      <c r="VXR19" s="41"/>
      <c r="VYC19" s="41"/>
      <c r="VYN19" s="41"/>
      <c r="VYY19" s="41"/>
      <c r="VZJ19" s="41"/>
      <c r="VZU19" s="41"/>
      <c r="WAF19" s="41"/>
      <c r="WAQ19" s="41"/>
      <c r="WBB19" s="41"/>
      <c r="WBM19" s="41"/>
      <c r="WBX19" s="41"/>
      <c r="WCI19" s="41"/>
      <c r="WCT19" s="41"/>
      <c r="WDE19" s="41"/>
      <c r="WDP19" s="41"/>
      <c r="WEA19" s="41"/>
      <c r="WEL19" s="41"/>
      <c r="WEW19" s="41"/>
      <c r="WFH19" s="41"/>
      <c r="WFS19" s="41"/>
      <c r="WGD19" s="41"/>
      <c r="WGO19" s="41"/>
      <c r="WGZ19" s="41"/>
      <c r="WHK19" s="41"/>
      <c r="WHV19" s="41"/>
      <c r="WIG19" s="41"/>
      <c r="WIR19" s="41"/>
      <c r="WJC19" s="41"/>
      <c r="WJN19" s="41"/>
      <c r="WJY19" s="41"/>
      <c r="WKJ19" s="41"/>
      <c r="WKU19" s="41"/>
      <c r="WLF19" s="41"/>
      <c r="WLQ19" s="41"/>
      <c r="WMB19" s="41"/>
      <c r="WMM19" s="41"/>
      <c r="WMX19" s="41"/>
      <c r="WNI19" s="41"/>
      <c r="WNT19" s="41"/>
      <c r="WOE19" s="41"/>
      <c r="WOP19" s="41"/>
      <c r="WPA19" s="41"/>
      <c r="WPL19" s="41"/>
      <c r="WPW19" s="41"/>
      <c r="WQH19" s="41"/>
      <c r="WQS19" s="41"/>
      <c r="WRD19" s="41"/>
      <c r="WRO19" s="41"/>
      <c r="WRZ19" s="41"/>
      <c r="WSK19" s="41"/>
      <c r="WSV19" s="41"/>
      <c r="WTG19" s="41"/>
      <c r="WTR19" s="41"/>
      <c r="WUC19" s="41"/>
      <c r="WUN19" s="41"/>
      <c r="WUY19" s="41"/>
      <c r="WVJ19" s="41"/>
      <c r="WVU19" s="41"/>
      <c r="WWF19" s="41"/>
      <c r="WWQ19" s="41"/>
      <c r="WXB19" s="41"/>
      <c r="WXM19" s="41"/>
      <c r="WXX19" s="41"/>
      <c r="WYI19" s="41"/>
      <c r="WYT19" s="41"/>
      <c r="WZE19" s="41"/>
      <c r="WZP19" s="41"/>
      <c r="XAA19" s="41"/>
      <c r="XAL19" s="41"/>
      <c r="XAW19" s="41"/>
      <c r="XBH19" s="41"/>
      <c r="XBS19" s="41"/>
      <c r="XCD19" s="41"/>
      <c r="XCO19" s="41"/>
      <c r="XCZ19" s="41"/>
      <c r="XDK19" s="41"/>
      <c r="XDV19" s="41"/>
      <c r="XEG19" s="41"/>
      <c r="XER19" s="41"/>
      <c r="XFC19" s="41"/>
    </row>
    <row r="20" spans="1:1016 1027:2039 2050:3062 3073:4096 4107:5119 5130:6142 6153:7165 7176:8188 8199:9211 9222:10234 10245:11257 11268:12280 12291:13303 13314:14326 14337:15360 15371:16383" s="40" customFormat="1" ht="9" customHeight="1">
      <c r="F20" s="41"/>
      <c r="I20" s="42"/>
      <c r="Z20" s="41"/>
      <c r="AA20" s="40" t="s">
        <v>114</v>
      </c>
      <c r="AK20" s="41"/>
      <c r="AV20" s="41"/>
      <c r="BG20" s="41"/>
      <c r="BR20" s="41"/>
      <c r="CC20" s="41"/>
      <c r="CN20" s="41"/>
      <c r="CY20" s="41"/>
      <c r="DJ20" s="41"/>
      <c r="DU20" s="41"/>
      <c r="EF20" s="41"/>
      <c r="EQ20" s="41"/>
      <c r="FB20" s="41"/>
      <c r="FM20" s="41"/>
      <c r="FX20" s="41"/>
      <c r="GI20" s="41"/>
      <c r="GT20" s="41"/>
      <c r="HE20" s="41"/>
      <c r="HP20" s="41"/>
      <c r="IA20" s="41"/>
      <c r="IL20" s="41"/>
      <c r="IW20" s="41"/>
      <c r="JH20" s="41"/>
      <c r="JS20" s="41"/>
      <c r="KD20" s="41"/>
      <c r="KO20" s="41"/>
      <c r="KZ20" s="41"/>
      <c r="LK20" s="41"/>
      <c r="LV20" s="41"/>
      <c r="MG20" s="41"/>
      <c r="MR20" s="41"/>
      <c r="NC20" s="41"/>
      <c r="NN20" s="41"/>
      <c r="NY20" s="41"/>
      <c r="OJ20" s="41"/>
      <c r="OU20" s="41"/>
      <c r="PF20" s="41"/>
      <c r="PQ20" s="41"/>
      <c r="QB20" s="41"/>
      <c r="QM20" s="41"/>
      <c r="QX20" s="41"/>
      <c r="RI20" s="41"/>
      <c r="RT20" s="41"/>
      <c r="SE20" s="41"/>
      <c r="SP20" s="41"/>
      <c r="TA20" s="41"/>
      <c r="TL20" s="41"/>
      <c r="TW20" s="41"/>
      <c r="UH20" s="41"/>
      <c r="US20" s="41"/>
      <c r="VD20" s="41"/>
      <c r="VO20" s="41"/>
      <c r="VZ20" s="41"/>
      <c r="WK20" s="41"/>
      <c r="WV20" s="41"/>
      <c r="XG20" s="41"/>
      <c r="XR20" s="41"/>
      <c r="YC20" s="41"/>
      <c r="YN20" s="41"/>
      <c r="YY20" s="41"/>
      <c r="ZJ20" s="41"/>
      <c r="ZU20" s="41"/>
      <c r="AAF20" s="41"/>
      <c r="AAQ20" s="41"/>
      <c r="ABB20" s="41"/>
      <c r="ABM20" s="41"/>
      <c r="ABX20" s="41"/>
      <c r="ACI20" s="41"/>
      <c r="ACT20" s="41"/>
      <c r="ADE20" s="41"/>
      <c r="ADP20" s="41"/>
      <c r="AEA20" s="41"/>
      <c r="AEL20" s="41"/>
      <c r="AEW20" s="41"/>
      <c r="AFH20" s="41"/>
      <c r="AFS20" s="41"/>
      <c r="AGD20" s="41"/>
      <c r="AGO20" s="41"/>
      <c r="AGZ20" s="41"/>
      <c r="AHK20" s="41"/>
      <c r="AHV20" s="41"/>
      <c r="AIG20" s="41"/>
      <c r="AIR20" s="41"/>
      <c r="AJC20" s="41"/>
      <c r="AJN20" s="41"/>
      <c r="AJY20" s="41"/>
      <c r="AKJ20" s="41"/>
      <c r="AKU20" s="41"/>
      <c r="ALF20" s="41"/>
      <c r="ALQ20" s="41"/>
      <c r="AMB20" s="41"/>
      <c r="AMM20" s="41"/>
      <c r="AMX20" s="41"/>
      <c r="ANI20" s="41"/>
      <c r="ANT20" s="41"/>
      <c r="AOE20" s="41"/>
      <c r="AOP20" s="41"/>
      <c r="APA20" s="41"/>
      <c r="APL20" s="41"/>
      <c r="APW20" s="41"/>
      <c r="AQH20" s="41"/>
      <c r="AQS20" s="41"/>
      <c r="ARD20" s="41"/>
      <c r="ARO20" s="41"/>
      <c r="ARZ20" s="41"/>
      <c r="ASK20" s="41"/>
      <c r="ASV20" s="41"/>
      <c r="ATG20" s="41"/>
      <c r="ATR20" s="41"/>
      <c r="AUC20" s="41"/>
      <c r="AUN20" s="41"/>
      <c r="AUY20" s="41"/>
      <c r="AVJ20" s="41"/>
      <c r="AVU20" s="41"/>
      <c r="AWF20" s="41"/>
      <c r="AWQ20" s="41"/>
      <c r="AXB20" s="41"/>
      <c r="AXM20" s="41"/>
      <c r="AXX20" s="41"/>
      <c r="AYI20" s="41"/>
      <c r="AYT20" s="41"/>
      <c r="AZE20" s="41"/>
      <c r="AZP20" s="41"/>
      <c r="BAA20" s="41"/>
      <c r="BAL20" s="41"/>
      <c r="BAW20" s="41"/>
      <c r="BBH20" s="41"/>
      <c r="BBS20" s="41"/>
      <c r="BCD20" s="41"/>
      <c r="BCO20" s="41"/>
      <c r="BCZ20" s="41"/>
      <c r="BDK20" s="41"/>
      <c r="BDV20" s="41"/>
      <c r="BEG20" s="41"/>
      <c r="BER20" s="41"/>
      <c r="BFC20" s="41"/>
      <c r="BFN20" s="41"/>
      <c r="BFY20" s="41"/>
      <c r="BGJ20" s="41"/>
      <c r="BGU20" s="41"/>
      <c r="BHF20" s="41"/>
      <c r="BHQ20" s="41"/>
      <c r="BIB20" s="41"/>
      <c r="BIM20" s="41"/>
      <c r="BIX20" s="41"/>
      <c r="BJI20" s="41"/>
      <c r="BJT20" s="41"/>
      <c r="BKE20" s="41"/>
      <c r="BKP20" s="41"/>
      <c r="BLA20" s="41"/>
      <c r="BLL20" s="41"/>
      <c r="BLW20" s="41"/>
      <c r="BMH20" s="41"/>
      <c r="BMS20" s="41"/>
      <c r="BND20" s="41"/>
      <c r="BNO20" s="41"/>
      <c r="BNZ20" s="41"/>
      <c r="BOK20" s="41"/>
      <c r="BOV20" s="41"/>
      <c r="BPG20" s="41"/>
      <c r="BPR20" s="41"/>
      <c r="BQC20" s="41"/>
      <c r="BQN20" s="41"/>
      <c r="BQY20" s="41"/>
      <c r="BRJ20" s="41"/>
      <c r="BRU20" s="41"/>
      <c r="BSF20" s="41"/>
      <c r="BSQ20" s="41"/>
      <c r="BTB20" s="41"/>
      <c r="BTM20" s="41"/>
      <c r="BTX20" s="41"/>
      <c r="BUI20" s="41"/>
      <c r="BUT20" s="41"/>
      <c r="BVE20" s="41"/>
      <c r="BVP20" s="41"/>
      <c r="BWA20" s="41"/>
      <c r="BWL20" s="41"/>
      <c r="BWW20" s="41"/>
      <c r="BXH20" s="41"/>
      <c r="BXS20" s="41"/>
      <c r="BYD20" s="41"/>
      <c r="BYO20" s="41"/>
      <c r="BYZ20" s="41"/>
      <c r="BZK20" s="41"/>
      <c r="BZV20" s="41"/>
      <c r="CAG20" s="41"/>
      <c r="CAR20" s="41"/>
      <c r="CBC20" s="41"/>
      <c r="CBN20" s="41"/>
      <c r="CBY20" s="41"/>
      <c r="CCJ20" s="41"/>
      <c r="CCU20" s="41"/>
      <c r="CDF20" s="41"/>
      <c r="CDQ20" s="41"/>
      <c r="CEB20" s="41"/>
      <c r="CEM20" s="41"/>
      <c r="CEX20" s="41"/>
      <c r="CFI20" s="41"/>
      <c r="CFT20" s="41"/>
      <c r="CGE20" s="41"/>
      <c r="CGP20" s="41"/>
      <c r="CHA20" s="41"/>
      <c r="CHL20" s="41"/>
      <c r="CHW20" s="41"/>
      <c r="CIH20" s="41"/>
      <c r="CIS20" s="41"/>
      <c r="CJD20" s="41"/>
      <c r="CJO20" s="41"/>
      <c r="CJZ20" s="41"/>
      <c r="CKK20" s="41"/>
      <c r="CKV20" s="41"/>
      <c r="CLG20" s="41"/>
      <c r="CLR20" s="41"/>
      <c r="CMC20" s="41"/>
      <c r="CMN20" s="41"/>
      <c r="CMY20" s="41"/>
      <c r="CNJ20" s="41"/>
      <c r="CNU20" s="41"/>
      <c r="COF20" s="41"/>
      <c r="COQ20" s="41"/>
      <c r="CPB20" s="41"/>
      <c r="CPM20" s="41"/>
      <c r="CPX20" s="41"/>
      <c r="CQI20" s="41"/>
      <c r="CQT20" s="41"/>
      <c r="CRE20" s="41"/>
      <c r="CRP20" s="41"/>
      <c r="CSA20" s="41"/>
      <c r="CSL20" s="41"/>
      <c r="CSW20" s="41"/>
      <c r="CTH20" s="41"/>
      <c r="CTS20" s="41"/>
      <c r="CUD20" s="41"/>
      <c r="CUO20" s="41"/>
      <c r="CUZ20" s="41"/>
      <c r="CVK20" s="41"/>
      <c r="CVV20" s="41"/>
      <c r="CWG20" s="41"/>
      <c r="CWR20" s="41"/>
      <c r="CXC20" s="41"/>
      <c r="CXN20" s="41"/>
      <c r="CXY20" s="41"/>
      <c r="CYJ20" s="41"/>
      <c r="CYU20" s="41"/>
      <c r="CZF20" s="41"/>
      <c r="CZQ20" s="41"/>
      <c r="DAB20" s="41"/>
      <c r="DAM20" s="41"/>
      <c r="DAX20" s="41"/>
      <c r="DBI20" s="41"/>
      <c r="DBT20" s="41"/>
      <c r="DCE20" s="41"/>
      <c r="DCP20" s="41"/>
      <c r="DDA20" s="41"/>
      <c r="DDL20" s="41"/>
      <c r="DDW20" s="41"/>
      <c r="DEH20" s="41"/>
      <c r="DES20" s="41"/>
      <c r="DFD20" s="41"/>
      <c r="DFO20" s="41"/>
      <c r="DFZ20" s="41"/>
      <c r="DGK20" s="41"/>
      <c r="DGV20" s="41"/>
      <c r="DHG20" s="41"/>
      <c r="DHR20" s="41"/>
      <c r="DIC20" s="41"/>
      <c r="DIN20" s="41"/>
      <c r="DIY20" s="41"/>
      <c r="DJJ20" s="41"/>
      <c r="DJU20" s="41"/>
      <c r="DKF20" s="41"/>
      <c r="DKQ20" s="41"/>
      <c r="DLB20" s="41"/>
      <c r="DLM20" s="41"/>
      <c r="DLX20" s="41"/>
      <c r="DMI20" s="41"/>
      <c r="DMT20" s="41"/>
      <c r="DNE20" s="41"/>
      <c r="DNP20" s="41"/>
      <c r="DOA20" s="41"/>
      <c r="DOL20" s="41"/>
      <c r="DOW20" s="41"/>
      <c r="DPH20" s="41"/>
      <c r="DPS20" s="41"/>
      <c r="DQD20" s="41"/>
      <c r="DQO20" s="41"/>
      <c r="DQZ20" s="41"/>
      <c r="DRK20" s="41"/>
      <c r="DRV20" s="41"/>
      <c r="DSG20" s="41"/>
      <c r="DSR20" s="41"/>
      <c r="DTC20" s="41"/>
      <c r="DTN20" s="41"/>
      <c r="DTY20" s="41"/>
      <c r="DUJ20" s="41"/>
      <c r="DUU20" s="41"/>
      <c r="DVF20" s="41"/>
      <c r="DVQ20" s="41"/>
      <c r="DWB20" s="41"/>
      <c r="DWM20" s="41"/>
      <c r="DWX20" s="41"/>
      <c r="DXI20" s="41"/>
      <c r="DXT20" s="41"/>
      <c r="DYE20" s="41"/>
      <c r="DYP20" s="41"/>
      <c r="DZA20" s="41"/>
      <c r="DZL20" s="41"/>
      <c r="DZW20" s="41"/>
      <c r="EAH20" s="41"/>
      <c r="EAS20" s="41"/>
      <c r="EBD20" s="41"/>
      <c r="EBO20" s="41"/>
      <c r="EBZ20" s="41"/>
      <c r="ECK20" s="41"/>
      <c r="ECV20" s="41"/>
      <c r="EDG20" s="41"/>
      <c r="EDR20" s="41"/>
      <c r="EEC20" s="41"/>
      <c r="EEN20" s="41"/>
      <c r="EEY20" s="41"/>
      <c r="EFJ20" s="41"/>
      <c r="EFU20" s="41"/>
      <c r="EGF20" s="41"/>
      <c r="EGQ20" s="41"/>
      <c r="EHB20" s="41"/>
      <c r="EHM20" s="41"/>
      <c r="EHX20" s="41"/>
      <c r="EII20" s="41"/>
      <c r="EIT20" s="41"/>
      <c r="EJE20" s="41"/>
      <c r="EJP20" s="41"/>
      <c r="EKA20" s="41"/>
      <c r="EKL20" s="41"/>
      <c r="EKW20" s="41"/>
      <c r="ELH20" s="41"/>
      <c r="ELS20" s="41"/>
      <c r="EMD20" s="41"/>
      <c r="EMO20" s="41"/>
      <c r="EMZ20" s="41"/>
      <c r="ENK20" s="41"/>
      <c r="ENV20" s="41"/>
      <c r="EOG20" s="41"/>
      <c r="EOR20" s="41"/>
      <c r="EPC20" s="41"/>
      <c r="EPN20" s="41"/>
      <c r="EPY20" s="41"/>
      <c r="EQJ20" s="41"/>
      <c r="EQU20" s="41"/>
      <c r="ERF20" s="41"/>
      <c r="ERQ20" s="41"/>
      <c r="ESB20" s="41"/>
      <c r="ESM20" s="41"/>
      <c r="ESX20" s="41"/>
      <c r="ETI20" s="41"/>
      <c r="ETT20" s="41"/>
      <c r="EUE20" s="41"/>
      <c r="EUP20" s="41"/>
      <c r="EVA20" s="41"/>
      <c r="EVL20" s="41"/>
      <c r="EVW20" s="41"/>
      <c r="EWH20" s="41"/>
      <c r="EWS20" s="41"/>
      <c r="EXD20" s="41"/>
      <c r="EXO20" s="41"/>
      <c r="EXZ20" s="41"/>
      <c r="EYK20" s="41"/>
      <c r="EYV20" s="41"/>
      <c r="EZG20" s="41"/>
      <c r="EZR20" s="41"/>
      <c r="FAC20" s="41"/>
      <c r="FAN20" s="41"/>
      <c r="FAY20" s="41"/>
      <c r="FBJ20" s="41"/>
      <c r="FBU20" s="41"/>
      <c r="FCF20" s="41"/>
      <c r="FCQ20" s="41"/>
      <c r="FDB20" s="41"/>
      <c r="FDM20" s="41"/>
      <c r="FDX20" s="41"/>
      <c r="FEI20" s="41"/>
      <c r="FET20" s="41"/>
      <c r="FFE20" s="41"/>
      <c r="FFP20" s="41"/>
      <c r="FGA20" s="41"/>
      <c r="FGL20" s="41"/>
      <c r="FGW20" s="41"/>
      <c r="FHH20" s="41"/>
      <c r="FHS20" s="41"/>
      <c r="FID20" s="41"/>
      <c r="FIO20" s="41"/>
      <c r="FIZ20" s="41"/>
      <c r="FJK20" s="41"/>
      <c r="FJV20" s="41"/>
      <c r="FKG20" s="41"/>
      <c r="FKR20" s="41"/>
      <c r="FLC20" s="41"/>
      <c r="FLN20" s="41"/>
      <c r="FLY20" s="41"/>
      <c r="FMJ20" s="41"/>
      <c r="FMU20" s="41"/>
      <c r="FNF20" s="41"/>
      <c r="FNQ20" s="41"/>
      <c r="FOB20" s="41"/>
      <c r="FOM20" s="41"/>
      <c r="FOX20" s="41"/>
      <c r="FPI20" s="41"/>
      <c r="FPT20" s="41"/>
      <c r="FQE20" s="41"/>
      <c r="FQP20" s="41"/>
      <c r="FRA20" s="41"/>
      <c r="FRL20" s="41"/>
      <c r="FRW20" s="41"/>
      <c r="FSH20" s="41"/>
      <c r="FSS20" s="41"/>
      <c r="FTD20" s="41"/>
      <c r="FTO20" s="41"/>
      <c r="FTZ20" s="41"/>
      <c r="FUK20" s="41"/>
      <c r="FUV20" s="41"/>
      <c r="FVG20" s="41"/>
      <c r="FVR20" s="41"/>
      <c r="FWC20" s="41"/>
      <c r="FWN20" s="41"/>
      <c r="FWY20" s="41"/>
      <c r="FXJ20" s="41"/>
      <c r="FXU20" s="41"/>
      <c r="FYF20" s="41"/>
      <c r="FYQ20" s="41"/>
      <c r="FZB20" s="41"/>
      <c r="FZM20" s="41"/>
      <c r="FZX20" s="41"/>
      <c r="GAI20" s="41"/>
      <c r="GAT20" s="41"/>
      <c r="GBE20" s="41"/>
      <c r="GBP20" s="41"/>
      <c r="GCA20" s="41"/>
      <c r="GCL20" s="41"/>
      <c r="GCW20" s="41"/>
      <c r="GDH20" s="41"/>
      <c r="GDS20" s="41"/>
      <c r="GED20" s="41"/>
      <c r="GEO20" s="41"/>
      <c r="GEZ20" s="41"/>
      <c r="GFK20" s="41"/>
      <c r="GFV20" s="41"/>
      <c r="GGG20" s="41"/>
      <c r="GGR20" s="41"/>
      <c r="GHC20" s="41"/>
      <c r="GHN20" s="41"/>
      <c r="GHY20" s="41"/>
      <c r="GIJ20" s="41"/>
      <c r="GIU20" s="41"/>
      <c r="GJF20" s="41"/>
      <c r="GJQ20" s="41"/>
      <c r="GKB20" s="41"/>
      <c r="GKM20" s="41"/>
      <c r="GKX20" s="41"/>
      <c r="GLI20" s="41"/>
      <c r="GLT20" s="41"/>
      <c r="GME20" s="41"/>
      <c r="GMP20" s="41"/>
      <c r="GNA20" s="41"/>
      <c r="GNL20" s="41"/>
      <c r="GNW20" s="41"/>
      <c r="GOH20" s="41"/>
      <c r="GOS20" s="41"/>
      <c r="GPD20" s="41"/>
      <c r="GPO20" s="41"/>
      <c r="GPZ20" s="41"/>
      <c r="GQK20" s="41"/>
      <c r="GQV20" s="41"/>
      <c r="GRG20" s="41"/>
      <c r="GRR20" s="41"/>
      <c r="GSC20" s="41"/>
      <c r="GSN20" s="41"/>
      <c r="GSY20" s="41"/>
      <c r="GTJ20" s="41"/>
      <c r="GTU20" s="41"/>
      <c r="GUF20" s="41"/>
      <c r="GUQ20" s="41"/>
      <c r="GVB20" s="41"/>
      <c r="GVM20" s="41"/>
      <c r="GVX20" s="41"/>
      <c r="GWI20" s="41"/>
      <c r="GWT20" s="41"/>
      <c r="GXE20" s="41"/>
      <c r="GXP20" s="41"/>
      <c r="GYA20" s="41"/>
      <c r="GYL20" s="41"/>
      <c r="GYW20" s="41"/>
      <c r="GZH20" s="41"/>
      <c r="GZS20" s="41"/>
      <c r="HAD20" s="41"/>
      <c r="HAO20" s="41"/>
      <c r="HAZ20" s="41"/>
      <c r="HBK20" s="41"/>
      <c r="HBV20" s="41"/>
      <c r="HCG20" s="41"/>
      <c r="HCR20" s="41"/>
      <c r="HDC20" s="41"/>
      <c r="HDN20" s="41"/>
      <c r="HDY20" s="41"/>
      <c r="HEJ20" s="41"/>
      <c r="HEU20" s="41"/>
      <c r="HFF20" s="41"/>
      <c r="HFQ20" s="41"/>
      <c r="HGB20" s="41"/>
      <c r="HGM20" s="41"/>
      <c r="HGX20" s="41"/>
      <c r="HHI20" s="41"/>
      <c r="HHT20" s="41"/>
      <c r="HIE20" s="41"/>
      <c r="HIP20" s="41"/>
      <c r="HJA20" s="41"/>
      <c r="HJL20" s="41"/>
      <c r="HJW20" s="41"/>
      <c r="HKH20" s="41"/>
      <c r="HKS20" s="41"/>
      <c r="HLD20" s="41"/>
      <c r="HLO20" s="41"/>
      <c r="HLZ20" s="41"/>
      <c r="HMK20" s="41"/>
      <c r="HMV20" s="41"/>
      <c r="HNG20" s="41"/>
      <c r="HNR20" s="41"/>
      <c r="HOC20" s="41"/>
      <c r="HON20" s="41"/>
      <c r="HOY20" s="41"/>
      <c r="HPJ20" s="41"/>
      <c r="HPU20" s="41"/>
      <c r="HQF20" s="41"/>
      <c r="HQQ20" s="41"/>
      <c r="HRB20" s="41"/>
      <c r="HRM20" s="41"/>
      <c r="HRX20" s="41"/>
      <c r="HSI20" s="41"/>
      <c r="HST20" s="41"/>
      <c r="HTE20" s="41"/>
      <c r="HTP20" s="41"/>
      <c r="HUA20" s="41"/>
      <c r="HUL20" s="41"/>
      <c r="HUW20" s="41"/>
      <c r="HVH20" s="41"/>
      <c r="HVS20" s="41"/>
      <c r="HWD20" s="41"/>
      <c r="HWO20" s="41"/>
      <c r="HWZ20" s="41"/>
      <c r="HXK20" s="41"/>
      <c r="HXV20" s="41"/>
      <c r="HYG20" s="41"/>
      <c r="HYR20" s="41"/>
      <c r="HZC20" s="41"/>
      <c r="HZN20" s="41"/>
      <c r="HZY20" s="41"/>
      <c r="IAJ20" s="41"/>
      <c r="IAU20" s="41"/>
      <c r="IBF20" s="41"/>
      <c r="IBQ20" s="41"/>
      <c r="ICB20" s="41"/>
      <c r="ICM20" s="41"/>
      <c r="ICX20" s="41"/>
      <c r="IDI20" s="41"/>
      <c r="IDT20" s="41"/>
      <c r="IEE20" s="41"/>
      <c r="IEP20" s="41"/>
      <c r="IFA20" s="41"/>
      <c r="IFL20" s="41"/>
      <c r="IFW20" s="41"/>
      <c r="IGH20" s="41"/>
      <c r="IGS20" s="41"/>
      <c r="IHD20" s="41"/>
      <c r="IHO20" s="41"/>
      <c r="IHZ20" s="41"/>
      <c r="IIK20" s="41"/>
      <c r="IIV20" s="41"/>
      <c r="IJG20" s="41"/>
      <c r="IJR20" s="41"/>
      <c r="IKC20" s="41"/>
      <c r="IKN20" s="41"/>
      <c r="IKY20" s="41"/>
      <c r="ILJ20" s="41"/>
      <c r="ILU20" s="41"/>
      <c r="IMF20" s="41"/>
      <c r="IMQ20" s="41"/>
      <c r="INB20" s="41"/>
      <c r="INM20" s="41"/>
      <c r="INX20" s="41"/>
      <c r="IOI20" s="41"/>
      <c r="IOT20" s="41"/>
      <c r="IPE20" s="41"/>
      <c r="IPP20" s="41"/>
      <c r="IQA20" s="41"/>
      <c r="IQL20" s="41"/>
      <c r="IQW20" s="41"/>
      <c r="IRH20" s="41"/>
      <c r="IRS20" s="41"/>
      <c r="ISD20" s="41"/>
      <c r="ISO20" s="41"/>
      <c r="ISZ20" s="41"/>
      <c r="ITK20" s="41"/>
      <c r="ITV20" s="41"/>
      <c r="IUG20" s="41"/>
      <c r="IUR20" s="41"/>
      <c r="IVC20" s="41"/>
      <c r="IVN20" s="41"/>
      <c r="IVY20" s="41"/>
      <c r="IWJ20" s="41"/>
      <c r="IWU20" s="41"/>
      <c r="IXF20" s="41"/>
      <c r="IXQ20" s="41"/>
      <c r="IYB20" s="41"/>
      <c r="IYM20" s="41"/>
      <c r="IYX20" s="41"/>
      <c r="IZI20" s="41"/>
      <c r="IZT20" s="41"/>
      <c r="JAE20" s="41"/>
      <c r="JAP20" s="41"/>
      <c r="JBA20" s="41"/>
      <c r="JBL20" s="41"/>
      <c r="JBW20" s="41"/>
      <c r="JCH20" s="41"/>
      <c r="JCS20" s="41"/>
      <c r="JDD20" s="41"/>
      <c r="JDO20" s="41"/>
      <c r="JDZ20" s="41"/>
      <c r="JEK20" s="41"/>
      <c r="JEV20" s="41"/>
      <c r="JFG20" s="41"/>
      <c r="JFR20" s="41"/>
      <c r="JGC20" s="41"/>
      <c r="JGN20" s="41"/>
      <c r="JGY20" s="41"/>
      <c r="JHJ20" s="41"/>
      <c r="JHU20" s="41"/>
      <c r="JIF20" s="41"/>
      <c r="JIQ20" s="41"/>
      <c r="JJB20" s="41"/>
      <c r="JJM20" s="41"/>
      <c r="JJX20" s="41"/>
      <c r="JKI20" s="41"/>
      <c r="JKT20" s="41"/>
      <c r="JLE20" s="41"/>
      <c r="JLP20" s="41"/>
      <c r="JMA20" s="41"/>
      <c r="JML20" s="41"/>
      <c r="JMW20" s="41"/>
      <c r="JNH20" s="41"/>
      <c r="JNS20" s="41"/>
      <c r="JOD20" s="41"/>
      <c r="JOO20" s="41"/>
      <c r="JOZ20" s="41"/>
      <c r="JPK20" s="41"/>
      <c r="JPV20" s="41"/>
      <c r="JQG20" s="41"/>
      <c r="JQR20" s="41"/>
      <c r="JRC20" s="41"/>
      <c r="JRN20" s="41"/>
      <c r="JRY20" s="41"/>
      <c r="JSJ20" s="41"/>
      <c r="JSU20" s="41"/>
      <c r="JTF20" s="41"/>
      <c r="JTQ20" s="41"/>
      <c r="JUB20" s="41"/>
      <c r="JUM20" s="41"/>
      <c r="JUX20" s="41"/>
      <c r="JVI20" s="41"/>
      <c r="JVT20" s="41"/>
      <c r="JWE20" s="41"/>
      <c r="JWP20" s="41"/>
      <c r="JXA20" s="41"/>
      <c r="JXL20" s="41"/>
      <c r="JXW20" s="41"/>
      <c r="JYH20" s="41"/>
      <c r="JYS20" s="41"/>
      <c r="JZD20" s="41"/>
      <c r="JZO20" s="41"/>
      <c r="JZZ20" s="41"/>
      <c r="KAK20" s="41"/>
      <c r="KAV20" s="41"/>
      <c r="KBG20" s="41"/>
      <c r="KBR20" s="41"/>
      <c r="KCC20" s="41"/>
      <c r="KCN20" s="41"/>
      <c r="KCY20" s="41"/>
      <c r="KDJ20" s="41"/>
      <c r="KDU20" s="41"/>
      <c r="KEF20" s="41"/>
      <c r="KEQ20" s="41"/>
      <c r="KFB20" s="41"/>
      <c r="KFM20" s="41"/>
      <c r="KFX20" s="41"/>
      <c r="KGI20" s="41"/>
      <c r="KGT20" s="41"/>
      <c r="KHE20" s="41"/>
      <c r="KHP20" s="41"/>
      <c r="KIA20" s="41"/>
      <c r="KIL20" s="41"/>
      <c r="KIW20" s="41"/>
      <c r="KJH20" s="41"/>
      <c r="KJS20" s="41"/>
      <c r="KKD20" s="41"/>
      <c r="KKO20" s="41"/>
      <c r="KKZ20" s="41"/>
      <c r="KLK20" s="41"/>
      <c r="KLV20" s="41"/>
      <c r="KMG20" s="41"/>
      <c r="KMR20" s="41"/>
      <c r="KNC20" s="41"/>
      <c r="KNN20" s="41"/>
      <c r="KNY20" s="41"/>
      <c r="KOJ20" s="41"/>
      <c r="KOU20" s="41"/>
      <c r="KPF20" s="41"/>
      <c r="KPQ20" s="41"/>
      <c r="KQB20" s="41"/>
      <c r="KQM20" s="41"/>
      <c r="KQX20" s="41"/>
      <c r="KRI20" s="41"/>
      <c r="KRT20" s="41"/>
      <c r="KSE20" s="41"/>
      <c r="KSP20" s="41"/>
      <c r="KTA20" s="41"/>
      <c r="KTL20" s="41"/>
      <c r="KTW20" s="41"/>
      <c r="KUH20" s="41"/>
      <c r="KUS20" s="41"/>
      <c r="KVD20" s="41"/>
      <c r="KVO20" s="41"/>
      <c r="KVZ20" s="41"/>
      <c r="KWK20" s="41"/>
      <c r="KWV20" s="41"/>
      <c r="KXG20" s="41"/>
      <c r="KXR20" s="41"/>
      <c r="KYC20" s="41"/>
      <c r="KYN20" s="41"/>
      <c r="KYY20" s="41"/>
      <c r="KZJ20" s="41"/>
      <c r="KZU20" s="41"/>
      <c r="LAF20" s="41"/>
      <c r="LAQ20" s="41"/>
      <c r="LBB20" s="41"/>
      <c r="LBM20" s="41"/>
      <c r="LBX20" s="41"/>
      <c r="LCI20" s="41"/>
      <c r="LCT20" s="41"/>
      <c r="LDE20" s="41"/>
      <c r="LDP20" s="41"/>
      <c r="LEA20" s="41"/>
      <c r="LEL20" s="41"/>
      <c r="LEW20" s="41"/>
      <c r="LFH20" s="41"/>
      <c r="LFS20" s="41"/>
      <c r="LGD20" s="41"/>
      <c r="LGO20" s="41"/>
      <c r="LGZ20" s="41"/>
      <c r="LHK20" s="41"/>
      <c r="LHV20" s="41"/>
      <c r="LIG20" s="41"/>
      <c r="LIR20" s="41"/>
      <c r="LJC20" s="41"/>
      <c r="LJN20" s="41"/>
      <c r="LJY20" s="41"/>
      <c r="LKJ20" s="41"/>
      <c r="LKU20" s="41"/>
      <c r="LLF20" s="41"/>
      <c r="LLQ20" s="41"/>
      <c r="LMB20" s="41"/>
      <c r="LMM20" s="41"/>
      <c r="LMX20" s="41"/>
      <c r="LNI20" s="41"/>
      <c r="LNT20" s="41"/>
      <c r="LOE20" s="41"/>
      <c r="LOP20" s="41"/>
      <c r="LPA20" s="41"/>
      <c r="LPL20" s="41"/>
      <c r="LPW20" s="41"/>
      <c r="LQH20" s="41"/>
      <c r="LQS20" s="41"/>
      <c r="LRD20" s="41"/>
      <c r="LRO20" s="41"/>
      <c r="LRZ20" s="41"/>
      <c r="LSK20" s="41"/>
      <c r="LSV20" s="41"/>
      <c r="LTG20" s="41"/>
      <c r="LTR20" s="41"/>
      <c r="LUC20" s="41"/>
      <c r="LUN20" s="41"/>
      <c r="LUY20" s="41"/>
      <c r="LVJ20" s="41"/>
      <c r="LVU20" s="41"/>
      <c r="LWF20" s="41"/>
      <c r="LWQ20" s="41"/>
      <c r="LXB20" s="41"/>
      <c r="LXM20" s="41"/>
      <c r="LXX20" s="41"/>
      <c r="LYI20" s="41"/>
      <c r="LYT20" s="41"/>
      <c r="LZE20" s="41"/>
      <c r="LZP20" s="41"/>
      <c r="MAA20" s="41"/>
      <c r="MAL20" s="41"/>
      <c r="MAW20" s="41"/>
      <c r="MBH20" s="41"/>
      <c r="MBS20" s="41"/>
      <c r="MCD20" s="41"/>
      <c r="MCO20" s="41"/>
      <c r="MCZ20" s="41"/>
      <c r="MDK20" s="41"/>
      <c r="MDV20" s="41"/>
      <c r="MEG20" s="41"/>
      <c r="MER20" s="41"/>
      <c r="MFC20" s="41"/>
      <c r="MFN20" s="41"/>
      <c r="MFY20" s="41"/>
      <c r="MGJ20" s="41"/>
      <c r="MGU20" s="41"/>
      <c r="MHF20" s="41"/>
      <c r="MHQ20" s="41"/>
      <c r="MIB20" s="41"/>
      <c r="MIM20" s="41"/>
      <c r="MIX20" s="41"/>
      <c r="MJI20" s="41"/>
      <c r="MJT20" s="41"/>
      <c r="MKE20" s="41"/>
      <c r="MKP20" s="41"/>
      <c r="MLA20" s="41"/>
      <c r="MLL20" s="41"/>
      <c r="MLW20" s="41"/>
      <c r="MMH20" s="41"/>
      <c r="MMS20" s="41"/>
      <c r="MND20" s="41"/>
      <c r="MNO20" s="41"/>
      <c r="MNZ20" s="41"/>
      <c r="MOK20" s="41"/>
      <c r="MOV20" s="41"/>
      <c r="MPG20" s="41"/>
      <c r="MPR20" s="41"/>
      <c r="MQC20" s="41"/>
      <c r="MQN20" s="41"/>
      <c r="MQY20" s="41"/>
      <c r="MRJ20" s="41"/>
      <c r="MRU20" s="41"/>
      <c r="MSF20" s="41"/>
      <c r="MSQ20" s="41"/>
      <c r="MTB20" s="41"/>
      <c r="MTM20" s="41"/>
      <c r="MTX20" s="41"/>
      <c r="MUI20" s="41"/>
      <c r="MUT20" s="41"/>
      <c r="MVE20" s="41"/>
      <c r="MVP20" s="41"/>
      <c r="MWA20" s="41"/>
      <c r="MWL20" s="41"/>
      <c r="MWW20" s="41"/>
      <c r="MXH20" s="41"/>
      <c r="MXS20" s="41"/>
      <c r="MYD20" s="41"/>
      <c r="MYO20" s="41"/>
      <c r="MYZ20" s="41"/>
      <c r="MZK20" s="41"/>
      <c r="MZV20" s="41"/>
      <c r="NAG20" s="41"/>
      <c r="NAR20" s="41"/>
      <c r="NBC20" s="41"/>
      <c r="NBN20" s="41"/>
      <c r="NBY20" s="41"/>
      <c r="NCJ20" s="41"/>
      <c r="NCU20" s="41"/>
      <c r="NDF20" s="41"/>
      <c r="NDQ20" s="41"/>
      <c r="NEB20" s="41"/>
      <c r="NEM20" s="41"/>
      <c r="NEX20" s="41"/>
      <c r="NFI20" s="41"/>
      <c r="NFT20" s="41"/>
      <c r="NGE20" s="41"/>
      <c r="NGP20" s="41"/>
      <c r="NHA20" s="41"/>
      <c r="NHL20" s="41"/>
      <c r="NHW20" s="41"/>
      <c r="NIH20" s="41"/>
      <c r="NIS20" s="41"/>
      <c r="NJD20" s="41"/>
      <c r="NJO20" s="41"/>
      <c r="NJZ20" s="41"/>
      <c r="NKK20" s="41"/>
      <c r="NKV20" s="41"/>
      <c r="NLG20" s="41"/>
      <c r="NLR20" s="41"/>
      <c r="NMC20" s="41"/>
      <c r="NMN20" s="41"/>
      <c r="NMY20" s="41"/>
      <c r="NNJ20" s="41"/>
      <c r="NNU20" s="41"/>
      <c r="NOF20" s="41"/>
      <c r="NOQ20" s="41"/>
      <c r="NPB20" s="41"/>
      <c r="NPM20" s="41"/>
      <c r="NPX20" s="41"/>
      <c r="NQI20" s="41"/>
      <c r="NQT20" s="41"/>
      <c r="NRE20" s="41"/>
      <c r="NRP20" s="41"/>
      <c r="NSA20" s="41"/>
      <c r="NSL20" s="41"/>
      <c r="NSW20" s="41"/>
      <c r="NTH20" s="41"/>
      <c r="NTS20" s="41"/>
      <c r="NUD20" s="41"/>
      <c r="NUO20" s="41"/>
      <c r="NUZ20" s="41"/>
      <c r="NVK20" s="41"/>
      <c r="NVV20" s="41"/>
      <c r="NWG20" s="41"/>
      <c r="NWR20" s="41"/>
      <c r="NXC20" s="41"/>
      <c r="NXN20" s="41"/>
      <c r="NXY20" s="41"/>
      <c r="NYJ20" s="41"/>
      <c r="NYU20" s="41"/>
      <c r="NZF20" s="41"/>
      <c r="NZQ20" s="41"/>
      <c r="OAB20" s="41"/>
      <c r="OAM20" s="41"/>
      <c r="OAX20" s="41"/>
      <c r="OBI20" s="41"/>
      <c r="OBT20" s="41"/>
      <c r="OCE20" s="41"/>
      <c r="OCP20" s="41"/>
      <c r="ODA20" s="41"/>
      <c r="ODL20" s="41"/>
      <c r="ODW20" s="41"/>
      <c r="OEH20" s="41"/>
      <c r="OES20" s="41"/>
      <c r="OFD20" s="41"/>
      <c r="OFO20" s="41"/>
      <c r="OFZ20" s="41"/>
      <c r="OGK20" s="41"/>
      <c r="OGV20" s="41"/>
      <c r="OHG20" s="41"/>
      <c r="OHR20" s="41"/>
      <c r="OIC20" s="41"/>
      <c r="OIN20" s="41"/>
      <c r="OIY20" s="41"/>
      <c r="OJJ20" s="41"/>
      <c r="OJU20" s="41"/>
      <c r="OKF20" s="41"/>
      <c r="OKQ20" s="41"/>
      <c r="OLB20" s="41"/>
      <c r="OLM20" s="41"/>
      <c r="OLX20" s="41"/>
      <c r="OMI20" s="41"/>
      <c r="OMT20" s="41"/>
      <c r="ONE20" s="41"/>
      <c r="ONP20" s="41"/>
      <c r="OOA20" s="41"/>
      <c r="OOL20" s="41"/>
      <c r="OOW20" s="41"/>
      <c r="OPH20" s="41"/>
      <c r="OPS20" s="41"/>
      <c r="OQD20" s="41"/>
      <c r="OQO20" s="41"/>
      <c r="OQZ20" s="41"/>
      <c r="ORK20" s="41"/>
      <c r="ORV20" s="41"/>
      <c r="OSG20" s="41"/>
      <c r="OSR20" s="41"/>
      <c r="OTC20" s="41"/>
      <c r="OTN20" s="41"/>
      <c r="OTY20" s="41"/>
      <c r="OUJ20" s="41"/>
      <c r="OUU20" s="41"/>
      <c r="OVF20" s="41"/>
      <c r="OVQ20" s="41"/>
      <c r="OWB20" s="41"/>
      <c r="OWM20" s="41"/>
      <c r="OWX20" s="41"/>
      <c r="OXI20" s="41"/>
      <c r="OXT20" s="41"/>
      <c r="OYE20" s="41"/>
      <c r="OYP20" s="41"/>
      <c r="OZA20" s="41"/>
      <c r="OZL20" s="41"/>
      <c r="OZW20" s="41"/>
      <c r="PAH20" s="41"/>
      <c r="PAS20" s="41"/>
      <c r="PBD20" s="41"/>
      <c r="PBO20" s="41"/>
      <c r="PBZ20" s="41"/>
      <c r="PCK20" s="41"/>
      <c r="PCV20" s="41"/>
      <c r="PDG20" s="41"/>
      <c r="PDR20" s="41"/>
      <c r="PEC20" s="41"/>
      <c r="PEN20" s="41"/>
      <c r="PEY20" s="41"/>
      <c r="PFJ20" s="41"/>
      <c r="PFU20" s="41"/>
      <c r="PGF20" s="41"/>
      <c r="PGQ20" s="41"/>
      <c r="PHB20" s="41"/>
      <c r="PHM20" s="41"/>
      <c r="PHX20" s="41"/>
      <c r="PII20" s="41"/>
      <c r="PIT20" s="41"/>
      <c r="PJE20" s="41"/>
      <c r="PJP20" s="41"/>
      <c r="PKA20" s="41"/>
      <c r="PKL20" s="41"/>
      <c r="PKW20" s="41"/>
      <c r="PLH20" s="41"/>
      <c r="PLS20" s="41"/>
      <c r="PMD20" s="41"/>
      <c r="PMO20" s="41"/>
      <c r="PMZ20" s="41"/>
      <c r="PNK20" s="41"/>
      <c r="PNV20" s="41"/>
      <c r="POG20" s="41"/>
      <c r="POR20" s="41"/>
      <c r="PPC20" s="41"/>
      <c r="PPN20" s="41"/>
      <c r="PPY20" s="41"/>
      <c r="PQJ20" s="41"/>
      <c r="PQU20" s="41"/>
      <c r="PRF20" s="41"/>
      <c r="PRQ20" s="41"/>
      <c r="PSB20" s="41"/>
      <c r="PSM20" s="41"/>
      <c r="PSX20" s="41"/>
      <c r="PTI20" s="41"/>
      <c r="PTT20" s="41"/>
      <c r="PUE20" s="41"/>
      <c r="PUP20" s="41"/>
      <c r="PVA20" s="41"/>
      <c r="PVL20" s="41"/>
      <c r="PVW20" s="41"/>
      <c r="PWH20" s="41"/>
      <c r="PWS20" s="41"/>
      <c r="PXD20" s="41"/>
      <c r="PXO20" s="41"/>
      <c r="PXZ20" s="41"/>
      <c r="PYK20" s="41"/>
      <c r="PYV20" s="41"/>
      <c r="PZG20" s="41"/>
      <c r="PZR20" s="41"/>
      <c r="QAC20" s="41"/>
      <c r="QAN20" s="41"/>
      <c r="QAY20" s="41"/>
      <c r="QBJ20" s="41"/>
      <c r="QBU20" s="41"/>
      <c r="QCF20" s="41"/>
      <c r="QCQ20" s="41"/>
      <c r="QDB20" s="41"/>
      <c r="QDM20" s="41"/>
      <c r="QDX20" s="41"/>
      <c r="QEI20" s="41"/>
      <c r="QET20" s="41"/>
      <c r="QFE20" s="41"/>
      <c r="QFP20" s="41"/>
      <c r="QGA20" s="41"/>
      <c r="QGL20" s="41"/>
      <c r="QGW20" s="41"/>
      <c r="QHH20" s="41"/>
      <c r="QHS20" s="41"/>
      <c r="QID20" s="41"/>
      <c r="QIO20" s="41"/>
      <c r="QIZ20" s="41"/>
      <c r="QJK20" s="41"/>
      <c r="QJV20" s="41"/>
      <c r="QKG20" s="41"/>
      <c r="QKR20" s="41"/>
      <c r="QLC20" s="41"/>
      <c r="QLN20" s="41"/>
      <c r="QLY20" s="41"/>
      <c r="QMJ20" s="41"/>
      <c r="QMU20" s="41"/>
      <c r="QNF20" s="41"/>
      <c r="QNQ20" s="41"/>
      <c r="QOB20" s="41"/>
      <c r="QOM20" s="41"/>
      <c r="QOX20" s="41"/>
      <c r="QPI20" s="41"/>
      <c r="QPT20" s="41"/>
      <c r="QQE20" s="41"/>
      <c r="QQP20" s="41"/>
      <c r="QRA20" s="41"/>
      <c r="QRL20" s="41"/>
      <c r="QRW20" s="41"/>
      <c r="QSH20" s="41"/>
      <c r="QSS20" s="41"/>
      <c r="QTD20" s="41"/>
      <c r="QTO20" s="41"/>
      <c r="QTZ20" s="41"/>
      <c r="QUK20" s="41"/>
      <c r="QUV20" s="41"/>
      <c r="QVG20" s="41"/>
      <c r="QVR20" s="41"/>
      <c r="QWC20" s="41"/>
      <c r="QWN20" s="41"/>
      <c r="QWY20" s="41"/>
      <c r="QXJ20" s="41"/>
      <c r="QXU20" s="41"/>
      <c r="QYF20" s="41"/>
      <c r="QYQ20" s="41"/>
      <c r="QZB20" s="41"/>
      <c r="QZM20" s="41"/>
      <c r="QZX20" s="41"/>
      <c r="RAI20" s="41"/>
      <c r="RAT20" s="41"/>
      <c r="RBE20" s="41"/>
      <c r="RBP20" s="41"/>
      <c r="RCA20" s="41"/>
      <c r="RCL20" s="41"/>
      <c r="RCW20" s="41"/>
      <c r="RDH20" s="41"/>
      <c r="RDS20" s="41"/>
      <c r="RED20" s="41"/>
      <c r="REO20" s="41"/>
      <c r="REZ20" s="41"/>
      <c r="RFK20" s="41"/>
      <c r="RFV20" s="41"/>
      <c r="RGG20" s="41"/>
      <c r="RGR20" s="41"/>
      <c r="RHC20" s="41"/>
      <c r="RHN20" s="41"/>
      <c r="RHY20" s="41"/>
      <c r="RIJ20" s="41"/>
      <c r="RIU20" s="41"/>
      <c r="RJF20" s="41"/>
      <c r="RJQ20" s="41"/>
      <c r="RKB20" s="41"/>
      <c r="RKM20" s="41"/>
      <c r="RKX20" s="41"/>
      <c r="RLI20" s="41"/>
      <c r="RLT20" s="41"/>
      <c r="RME20" s="41"/>
      <c r="RMP20" s="41"/>
      <c r="RNA20" s="41"/>
      <c r="RNL20" s="41"/>
      <c r="RNW20" s="41"/>
      <c r="ROH20" s="41"/>
      <c r="ROS20" s="41"/>
      <c r="RPD20" s="41"/>
      <c r="RPO20" s="41"/>
      <c r="RPZ20" s="41"/>
      <c r="RQK20" s="41"/>
      <c r="RQV20" s="41"/>
      <c r="RRG20" s="41"/>
      <c r="RRR20" s="41"/>
      <c r="RSC20" s="41"/>
      <c r="RSN20" s="41"/>
      <c r="RSY20" s="41"/>
      <c r="RTJ20" s="41"/>
      <c r="RTU20" s="41"/>
      <c r="RUF20" s="41"/>
      <c r="RUQ20" s="41"/>
      <c r="RVB20" s="41"/>
      <c r="RVM20" s="41"/>
      <c r="RVX20" s="41"/>
      <c r="RWI20" s="41"/>
      <c r="RWT20" s="41"/>
      <c r="RXE20" s="41"/>
      <c r="RXP20" s="41"/>
      <c r="RYA20" s="41"/>
      <c r="RYL20" s="41"/>
      <c r="RYW20" s="41"/>
      <c r="RZH20" s="41"/>
      <c r="RZS20" s="41"/>
      <c r="SAD20" s="41"/>
      <c r="SAO20" s="41"/>
      <c r="SAZ20" s="41"/>
      <c r="SBK20" s="41"/>
      <c r="SBV20" s="41"/>
      <c r="SCG20" s="41"/>
      <c r="SCR20" s="41"/>
      <c r="SDC20" s="41"/>
      <c r="SDN20" s="41"/>
      <c r="SDY20" s="41"/>
      <c r="SEJ20" s="41"/>
      <c r="SEU20" s="41"/>
      <c r="SFF20" s="41"/>
      <c r="SFQ20" s="41"/>
      <c r="SGB20" s="41"/>
      <c r="SGM20" s="41"/>
      <c r="SGX20" s="41"/>
      <c r="SHI20" s="41"/>
      <c r="SHT20" s="41"/>
      <c r="SIE20" s="41"/>
      <c r="SIP20" s="41"/>
      <c r="SJA20" s="41"/>
      <c r="SJL20" s="41"/>
      <c r="SJW20" s="41"/>
      <c r="SKH20" s="41"/>
      <c r="SKS20" s="41"/>
      <c r="SLD20" s="41"/>
      <c r="SLO20" s="41"/>
      <c r="SLZ20" s="41"/>
      <c r="SMK20" s="41"/>
      <c r="SMV20" s="41"/>
      <c r="SNG20" s="41"/>
      <c r="SNR20" s="41"/>
      <c r="SOC20" s="41"/>
      <c r="SON20" s="41"/>
      <c r="SOY20" s="41"/>
      <c r="SPJ20" s="41"/>
      <c r="SPU20" s="41"/>
      <c r="SQF20" s="41"/>
      <c r="SQQ20" s="41"/>
      <c r="SRB20" s="41"/>
      <c r="SRM20" s="41"/>
      <c r="SRX20" s="41"/>
      <c r="SSI20" s="41"/>
      <c r="SST20" s="41"/>
      <c r="STE20" s="41"/>
      <c r="STP20" s="41"/>
      <c r="SUA20" s="41"/>
      <c r="SUL20" s="41"/>
      <c r="SUW20" s="41"/>
      <c r="SVH20" s="41"/>
      <c r="SVS20" s="41"/>
      <c r="SWD20" s="41"/>
      <c r="SWO20" s="41"/>
      <c r="SWZ20" s="41"/>
      <c r="SXK20" s="41"/>
      <c r="SXV20" s="41"/>
      <c r="SYG20" s="41"/>
      <c r="SYR20" s="41"/>
      <c r="SZC20" s="41"/>
      <c r="SZN20" s="41"/>
      <c r="SZY20" s="41"/>
      <c r="TAJ20" s="41"/>
      <c r="TAU20" s="41"/>
      <c r="TBF20" s="41"/>
      <c r="TBQ20" s="41"/>
      <c r="TCB20" s="41"/>
      <c r="TCM20" s="41"/>
      <c r="TCX20" s="41"/>
      <c r="TDI20" s="41"/>
      <c r="TDT20" s="41"/>
      <c r="TEE20" s="41"/>
      <c r="TEP20" s="41"/>
      <c r="TFA20" s="41"/>
      <c r="TFL20" s="41"/>
      <c r="TFW20" s="41"/>
      <c r="TGH20" s="41"/>
      <c r="TGS20" s="41"/>
      <c r="THD20" s="41"/>
      <c r="THO20" s="41"/>
      <c r="THZ20" s="41"/>
      <c r="TIK20" s="41"/>
      <c r="TIV20" s="41"/>
      <c r="TJG20" s="41"/>
      <c r="TJR20" s="41"/>
      <c r="TKC20" s="41"/>
      <c r="TKN20" s="41"/>
      <c r="TKY20" s="41"/>
      <c r="TLJ20" s="41"/>
      <c r="TLU20" s="41"/>
      <c r="TMF20" s="41"/>
      <c r="TMQ20" s="41"/>
      <c r="TNB20" s="41"/>
      <c r="TNM20" s="41"/>
      <c r="TNX20" s="41"/>
      <c r="TOI20" s="41"/>
      <c r="TOT20" s="41"/>
      <c r="TPE20" s="41"/>
      <c r="TPP20" s="41"/>
      <c r="TQA20" s="41"/>
      <c r="TQL20" s="41"/>
      <c r="TQW20" s="41"/>
      <c r="TRH20" s="41"/>
      <c r="TRS20" s="41"/>
      <c r="TSD20" s="41"/>
      <c r="TSO20" s="41"/>
      <c r="TSZ20" s="41"/>
      <c r="TTK20" s="41"/>
      <c r="TTV20" s="41"/>
      <c r="TUG20" s="41"/>
      <c r="TUR20" s="41"/>
      <c r="TVC20" s="41"/>
      <c r="TVN20" s="41"/>
      <c r="TVY20" s="41"/>
      <c r="TWJ20" s="41"/>
      <c r="TWU20" s="41"/>
      <c r="TXF20" s="41"/>
      <c r="TXQ20" s="41"/>
      <c r="TYB20" s="41"/>
      <c r="TYM20" s="41"/>
      <c r="TYX20" s="41"/>
      <c r="TZI20" s="41"/>
      <c r="TZT20" s="41"/>
      <c r="UAE20" s="41"/>
      <c r="UAP20" s="41"/>
      <c r="UBA20" s="41"/>
      <c r="UBL20" s="41"/>
      <c r="UBW20" s="41"/>
      <c r="UCH20" s="41"/>
      <c r="UCS20" s="41"/>
      <c r="UDD20" s="41"/>
      <c r="UDO20" s="41"/>
      <c r="UDZ20" s="41"/>
      <c r="UEK20" s="41"/>
      <c r="UEV20" s="41"/>
      <c r="UFG20" s="41"/>
      <c r="UFR20" s="41"/>
      <c r="UGC20" s="41"/>
      <c r="UGN20" s="41"/>
      <c r="UGY20" s="41"/>
      <c r="UHJ20" s="41"/>
      <c r="UHU20" s="41"/>
      <c r="UIF20" s="41"/>
      <c r="UIQ20" s="41"/>
      <c r="UJB20" s="41"/>
      <c r="UJM20" s="41"/>
      <c r="UJX20" s="41"/>
      <c r="UKI20" s="41"/>
      <c r="UKT20" s="41"/>
      <c r="ULE20" s="41"/>
      <c r="ULP20" s="41"/>
      <c r="UMA20" s="41"/>
      <c r="UML20" s="41"/>
      <c r="UMW20" s="41"/>
      <c r="UNH20" s="41"/>
      <c r="UNS20" s="41"/>
      <c r="UOD20" s="41"/>
      <c r="UOO20" s="41"/>
      <c r="UOZ20" s="41"/>
      <c r="UPK20" s="41"/>
      <c r="UPV20" s="41"/>
      <c r="UQG20" s="41"/>
      <c r="UQR20" s="41"/>
      <c r="URC20" s="41"/>
      <c r="URN20" s="41"/>
      <c r="URY20" s="41"/>
      <c r="USJ20" s="41"/>
      <c r="USU20" s="41"/>
      <c r="UTF20" s="41"/>
      <c r="UTQ20" s="41"/>
      <c r="UUB20" s="41"/>
      <c r="UUM20" s="41"/>
      <c r="UUX20" s="41"/>
      <c r="UVI20" s="41"/>
      <c r="UVT20" s="41"/>
      <c r="UWE20" s="41"/>
      <c r="UWP20" s="41"/>
      <c r="UXA20" s="41"/>
      <c r="UXL20" s="41"/>
      <c r="UXW20" s="41"/>
      <c r="UYH20" s="41"/>
      <c r="UYS20" s="41"/>
      <c r="UZD20" s="41"/>
      <c r="UZO20" s="41"/>
      <c r="UZZ20" s="41"/>
      <c r="VAK20" s="41"/>
      <c r="VAV20" s="41"/>
      <c r="VBG20" s="41"/>
      <c r="VBR20" s="41"/>
      <c r="VCC20" s="41"/>
      <c r="VCN20" s="41"/>
      <c r="VCY20" s="41"/>
      <c r="VDJ20" s="41"/>
      <c r="VDU20" s="41"/>
      <c r="VEF20" s="41"/>
      <c r="VEQ20" s="41"/>
      <c r="VFB20" s="41"/>
      <c r="VFM20" s="41"/>
      <c r="VFX20" s="41"/>
      <c r="VGI20" s="41"/>
      <c r="VGT20" s="41"/>
      <c r="VHE20" s="41"/>
      <c r="VHP20" s="41"/>
      <c r="VIA20" s="41"/>
      <c r="VIL20" s="41"/>
      <c r="VIW20" s="41"/>
      <c r="VJH20" s="41"/>
      <c r="VJS20" s="41"/>
      <c r="VKD20" s="41"/>
      <c r="VKO20" s="41"/>
      <c r="VKZ20" s="41"/>
      <c r="VLK20" s="41"/>
      <c r="VLV20" s="41"/>
      <c r="VMG20" s="41"/>
      <c r="VMR20" s="41"/>
      <c r="VNC20" s="41"/>
      <c r="VNN20" s="41"/>
      <c r="VNY20" s="41"/>
      <c r="VOJ20" s="41"/>
      <c r="VOU20" s="41"/>
      <c r="VPF20" s="41"/>
      <c r="VPQ20" s="41"/>
      <c r="VQB20" s="41"/>
      <c r="VQM20" s="41"/>
      <c r="VQX20" s="41"/>
      <c r="VRI20" s="41"/>
      <c r="VRT20" s="41"/>
      <c r="VSE20" s="41"/>
      <c r="VSP20" s="41"/>
      <c r="VTA20" s="41"/>
      <c r="VTL20" s="41"/>
      <c r="VTW20" s="41"/>
      <c r="VUH20" s="41"/>
      <c r="VUS20" s="41"/>
      <c r="VVD20" s="41"/>
      <c r="VVO20" s="41"/>
      <c r="VVZ20" s="41"/>
      <c r="VWK20" s="41"/>
      <c r="VWV20" s="41"/>
      <c r="VXG20" s="41"/>
      <c r="VXR20" s="41"/>
      <c r="VYC20" s="41"/>
      <c r="VYN20" s="41"/>
      <c r="VYY20" s="41"/>
      <c r="VZJ20" s="41"/>
      <c r="VZU20" s="41"/>
      <c r="WAF20" s="41"/>
      <c r="WAQ20" s="41"/>
      <c r="WBB20" s="41"/>
      <c r="WBM20" s="41"/>
      <c r="WBX20" s="41"/>
      <c r="WCI20" s="41"/>
      <c r="WCT20" s="41"/>
      <c r="WDE20" s="41"/>
      <c r="WDP20" s="41"/>
      <c r="WEA20" s="41"/>
      <c r="WEL20" s="41"/>
      <c r="WEW20" s="41"/>
      <c r="WFH20" s="41"/>
      <c r="WFS20" s="41"/>
      <c r="WGD20" s="41"/>
      <c r="WGO20" s="41"/>
      <c r="WGZ20" s="41"/>
      <c r="WHK20" s="41"/>
      <c r="WHV20" s="41"/>
      <c r="WIG20" s="41"/>
      <c r="WIR20" s="41"/>
      <c r="WJC20" s="41"/>
      <c r="WJN20" s="41"/>
      <c r="WJY20" s="41"/>
      <c r="WKJ20" s="41"/>
      <c r="WKU20" s="41"/>
      <c r="WLF20" s="41"/>
      <c r="WLQ20" s="41"/>
      <c r="WMB20" s="41"/>
      <c r="WMM20" s="41"/>
      <c r="WMX20" s="41"/>
      <c r="WNI20" s="41"/>
      <c r="WNT20" s="41"/>
      <c r="WOE20" s="41"/>
      <c r="WOP20" s="41"/>
      <c r="WPA20" s="41"/>
      <c r="WPL20" s="41"/>
      <c r="WPW20" s="41"/>
      <c r="WQH20" s="41"/>
      <c r="WQS20" s="41"/>
      <c r="WRD20" s="41"/>
      <c r="WRO20" s="41"/>
      <c r="WRZ20" s="41"/>
      <c r="WSK20" s="41"/>
      <c r="WSV20" s="41"/>
      <c r="WTG20" s="41"/>
      <c r="WTR20" s="41"/>
      <c r="WUC20" s="41"/>
      <c r="WUN20" s="41"/>
      <c r="WUY20" s="41"/>
      <c r="WVJ20" s="41"/>
      <c r="WVU20" s="41"/>
      <c r="WWF20" s="41"/>
      <c r="WWQ20" s="41"/>
      <c r="WXB20" s="41"/>
      <c r="WXM20" s="41"/>
      <c r="WXX20" s="41"/>
      <c r="WYI20" s="41"/>
      <c r="WYT20" s="41"/>
      <c r="WZE20" s="41"/>
      <c r="WZP20" s="41"/>
      <c r="XAA20" s="41"/>
      <c r="XAL20" s="41"/>
      <c r="XAW20" s="41"/>
      <c r="XBH20" s="41"/>
      <c r="XBS20" s="41"/>
      <c r="XCD20" s="41"/>
      <c r="XCO20" s="41"/>
      <c r="XCZ20" s="41"/>
      <c r="XDK20" s="41"/>
      <c r="XDV20" s="41"/>
      <c r="XEG20" s="41"/>
      <c r="XER20" s="41"/>
      <c r="XFC20" s="41"/>
    </row>
    <row r="21" spans="1:1016 1027:2039 2050:3062 3073:4096 4107:5119 5130:6142 6153:7165 7176:8188 8199:9211 9222:10234 10245:11257 11268:12280 12291:13303 13314:14326 14337:15360 15371:16383" ht="19.8" hidden="1" customHeight="1">
      <c r="D21" t="s">
        <v>403</v>
      </c>
      <c r="G21" s="219" t="str">
        <f ca="1">Lists!D10</f>
        <v>Businessrate 1</v>
      </c>
      <c r="H21" s="220"/>
      <c r="I21" s="9"/>
      <c r="AA21" t="s">
        <v>115</v>
      </c>
    </row>
    <row r="22" spans="1:1016 1027:2039 2050:3062 3073:4096 4107:5119 5130:6142 6153:7165 7176:8188 8199:9211 9222:10234 10245:11257 11268:12280 12291:13303 13314:14326 14337:15360 15371:16383" ht="13.2" customHeight="1">
      <c r="G22" s="9"/>
      <c r="H22" s="9"/>
      <c r="I22" s="9"/>
      <c r="AA22" t="s">
        <v>116</v>
      </c>
    </row>
    <row r="23" spans="1:1016 1027:2039 2050:3062 3073:4096 4107:5119 5130:6142 6153:7165 7176:8188 8199:9211 9222:10234 10245:11257 11268:12280 12291:13303 13314:14326 14337:15360 15371:16383" s="40" customFormat="1" ht="17.25" customHeight="1">
      <c r="D23" s="40" t="s">
        <v>6</v>
      </c>
      <c r="F23" s="41"/>
      <c r="G23" s="40" t="str">
        <f ca="1">Selected_Supply_Voltage</f>
        <v>&lt; 500V</v>
      </c>
      <c r="I23" s="42"/>
      <c r="P23" s="221" t="s">
        <v>275</v>
      </c>
      <c r="Q23" s="221"/>
      <c r="R23" s="221"/>
      <c r="S23" s="221"/>
      <c r="T23" s="221"/>
      <c r="U23" s="204"/>
      <c r="V23" s="204"/>
      <c r="W23" s="204"/>
      <c r="X23" s="204"/>
      <c r="Y23" s="204"/>
      <c r="Z23" s="204"/>
      <c r="AA23" s="40" t="s">
        <v>118</v>
      </c>
      <c r="AK23" s="41"/>
      <c r="AV23" s="41"/>
      <c r="BG23" s="41"/>
      <c r="BR23" s="41"/>
      <c r="CC23" s="41"/>
      <c r="CN23" s="41"/>
      <c r="CY23" s="41"/>
      <c r="DJ23" s="41"/>
      <c r="DU23" s="41"/>
      <c r="EF23" s="41"/>
      <c r="EQ23" s="41"/>
      <c r="FB23" s="41"/>
      <c r="FM23" s="41"/>
      <c r="FX23" s="41"/>
      <c r="GI23" s="41"/>
      <c r="GT23" s="41"/>
      <c r="HE23" s="41"/>
      <c r="HP23" s="41"/>
      <c r="IA23" s="41"/>
      <c r="IL23" s="41"/>
      <c r="IW23" s="41"/>
      <c r="JH23" s="41"/>
      <c r="JS23" s="41"/>
      <c r="KD23" s="41"/>
      <c r="KO23" s="41"/>
      <c r="KZ23" s="41"/>
      <c r="LK23" s="41"/>
      <c r="LV23" s="41"/>
      <c r="MG23" s="41"/>
      <c r="MR23" s="41"/>
      <c r="NC23" s="41"/>
      <c r="NN23" s="41"/>
      <c r="NY23" s="41"/>
      <c r="OJ23" s="41"/>
      <c r="OU23" s="41"/>
      <c r="PF23" s="41"/>
      <c r="PQ23" s="41"/>
      <c r="QB23" s="41"/>
      <c r="QM23" s="41"/>
      <c r="QX23" s="41"/>
      <c r="RI23" s="41"/>
      <c r="RT23" s="41"/>
      <c r="SE23" s="41"/>
      <c r="SP23" s="41"/>
      <c r="TA23" s="41"/>
      <c r="TL23" s="41"/>
      <c r="TW23" s="41"/>
      <c r="UH23" s="41"/>
      <c r="US23" s="41"/>
      <c r="VD23" s="41"/>
      <c r="VO23" s="41"/>
      <c r="VZ23" s="41"/>
      <c r="WK23" s="41"/>
      <c r="WV23" s="41"/>
      <c r="XG23" s="41"/>
      <c r="XR23" s="41"/>
      <c r="YC23" s="41"/>
      <c r="YN23" s="41"/>
      <c r="YY23" s="41"/>
      <c r="ZJ23" s="41"/>
      <c r="ZU23" s="41"/>
      <c r="AAF23" s="41"/>
      <c r="AAQ23" s="41"/>
      <c r="ABB23" s="41"/>
      <c r="ABM23" s="41"/>
      <c r="ABX23" s="41"/>
      <c r="ACI23" s="41"/>
      <c r="ACT23" s="41"/>
      <c r="ADE23" s="41"/>
      <c r="ADP23" s="41"/>
      <c r="AEA23" s="41"/>
      <c r="AEL23" s="41"/>
      <c r="AEW23" s="41"/>
      <c r="AFH23" s="41"/>
      <c r="AFS23" s="41"/>
      <c r="AGD23" s="41"/>
      <c r="AGO23" s="41"/>
      <c r="AGZ23" s="41"/>
      <c r="AHK23" s="41"/>
      <c r="AHV23" s="41"/>
      <c r="AIG23" s="41"/>
      <c r="AIR23" s="41"/>
      <c r="AJC23" s="41"/>
      <c r="AJN23" s="41"/>
      <c r="AJY23" s="41"/>
      <c r="AKJ23" s="41"/>
      <c r="AKU23" s="41"/>
      <c r="ALF23" s="41"/>
      <c r="ALQ23" s="41"/>
      <c r="AMB23" s="41"/>
      <c r="AMM23" s="41"/>
      <c r="AMX23" s="41"/>
      <c r="ANI23" s="41"/>
      <c r="ANT23" s="41"/>
      <c r="AOE23" s="41"/>
      <c r="AOP23" s="41"/>
      <c r="APA23" s="41"/>
      <c r="APL23" s="41"/>
      <c r="APW23" s="41"/>
      <c r="AQH23" s="41"/>
      <c r="AQS23" s="41"/>
      <c r="ARD23" s="41"/>
      <c r="ARO23" s="41"/>
      <c r="ARZ23" s="41"/>
      <c r="ASK23" s="41"/>
      <c r="ASV23" s="41"/>
      <c r="ATG23" s="41"/>
      <c r="ATR23" s="41"/>
      <c r="AUC23" s="41"/>
      <c r="AUN23" s="41"/>
      <c r="AUY23" s="41"/>
      <c r="AVJ23" s="41"/>
      <c r="AVU23" s="41"/>
      <c r="AWF23" s="41"/>
      <c r="AWQ23" s="41"/>
      <c r="AXB23" s="41"/>
      <c r="AXM23" s="41"/>
      <c r="AXX23" s="41"/>
      <c r="AYI23" s="41"/>
      <c r="AYT23" s="41"/>
      <c r="AZE23" s="41"/>
      <c r="AZP23" s="41"/>
      <c r="BAA23" s="41"/>
      <c r="BAL23" s="41"/>
      <c r="BAW23" s="41"/>
      <c r="BBH23" s="41"/>
      <c r="BBS23" s="41"/>
      <c r="BCD23" s="41"/>
      <c r="BCO23" s="41"/>
      <c r="BCZ23" s="41"/>
      <c r="BDK23" s="41"/>
      <c r="BDV23" s="41"/>
      <c r="BEG23" s="41"/>
      <c r="BER23" s="41"/>
      <c r="BFC23" s="41"/>
      <c r="BFN23" s="41"/>
      <c r="BFY23" s="41"/>
      <c r="BGJ23" s="41"/>
      <c r="BGU23" s="41"/>
      <c r="BHF23" s="41"/>
      <c r="BHQ23" s="41"/>
      <c r="BIB23" s="41"/>
      <c r="BIM23" s="41"/>
      <c r="BIX23" s="41"/>
      <c r="BJI23" s="41"/>
      <c r="BJT23" s="41"/>
      <c r="BKE23" s="41"/>
      <c r="BKP23" s="41"/>
      <c r="BLA23" s="41"/>
      <c r="BLL23" s="41"/>
      <c r="BLW23" s="41"/>
      <c r="BMH23" s="41"/>
      <c r="BMS23" s="41"/>
      <c r="BND23" s="41"/>
      <c r="BNO23" s="41"/>
      <c r="BNZ23" s="41"/>
      <c r="BOK23" s="41"/>
      <c r="BOV23" s="41"/>
      <c r="BPG23" s="41"/>
      <c r="BPR23" s="41"/>
      <c r="BQC23" s="41"/>
      <c r="BQN23" s="41"/>
      <c r="BQY23" s="41"/>
      <c r="BRJ23" s="41"/>
      <c r="BRU23" s="41"/>
      <c r="BSF23" s="41"/>
      <c r="BSQ23" s="41"/>
      <c r="BTB23" s="41"/>
      <c r="BTM23" s="41"/>
      <c r="BTX23" s="41"/>
      <c r="BUI23" s="41"/>
      <c r="BUT23" s="41"/>
      <c r="BVE23" s="41"/>
      <c r="BVP23" s="41"/>
      <c r="BWA23" s="41"/>
      <c r="BWL23" s="41"/>
      <c r="BWW23" s="41"/>
      <c r="BXH23" s="41"/>
      <c r="BXS23" s="41"/>
      <c r="BYD23" s="41"/>
      <c r="BYO23" s="41"/>
      <c r="BYZ23" s="41"/>
      <c r="BZK23" s="41"/>
      <c r="BZV23" s="41"/>
      <c r="CAG23" s="41"/>
      <c r="CAR23" s="41"/>
      <c r="CBC23" s="41"/>
      <c r="CBN23" s="41"/>
      <c r="CBY23" s="41"/>
      <c r="CCJ23" s="41"/>
      <c r="CCU23" s="41"/>
      <c r="CDF23" s="41"/>
      <c r="CDQ23" s="41"/>
      <c r="CEB23" s="41"/>
      <c r="CEM23" s="41"/>
      <c r="CEX23" s="41"/>
      <c r="CFI23" s="41"/>
      <c r="CFT23" s="41"/>
      <c r="CGE23" s="41"/>
      <c r="CGP23" s="41"/>
      <c r="CHA23" s="41"/>
      <c r="CHL23" s="41"/>
      <c r="CHW23" s="41"/>
      <c r="CIH23" s="41"/>
      <c r="CIS23" s="41"/>
      <c r="CJD23" s="41"/>
      <c r="CJO23" s="41"/>
      <c r="CJZ23" s="41"/>
      <c r="CKK23" s="41"/>
      <c r="CKV23" s="41"/>
      <c r="CLG23" s="41"/>
      <c r="CLR23" s="41"/>
      <c r="CMC23" s="41"/>
      <c r="CMN23" s="41"/>
      <c r="CMY23" s="41"/>
      <c r="CNJ23" s="41"/>
      <c r="CNU23" s="41"/>
      <c r="COF23" s="41"/>
      <c r="COQ23" s="41"/>
      <c r="CPB23" s="41"/>
      <c r="CPM23" s="41"/>
      <c r="CPX23" s="41"/>
      <c r="CQI23" s="41"/>
      <c r="CQT23" s="41"/>
      <c r="CRE23" s="41"/>
      <c r="CRP23" s="41"/>
      <c r="CSA23" s="41"/>
      <c r="CSL23" s="41"/>
      <c r="CSW23" s="41"/>
      <c r="CTH23" s="41"/>
      <c r="CTS23" s="41"/>
      <c r="CUD23" s="41"/>
      <c r="CUO23" s="41"/>
      <c r="CUZ23" s="41"/>
      <c r="CVK23" s="41"/>
      <c r="CVV23" s="41"/>
      <c r="CWG23" s="41"/>
      <c r="CWR23" s="41"/>
      <c r="CXC23" s="41"/>
      <c r="CXN23" s="41"/>
      <c r="CXY23" s="41"/>
      <c r="CYJ23" s="41"/>
      <c r="CYU23" s="41"/>
      <c r="CZF23" s="41"/>
      <c r="CZQ23" s="41"/>
      <c r="DAB23" s="41"/>
      <c r="DAM23" s="41"/>
      <c r="DAX23" s="41"/>
      <c r="DBI23" s="41"/>
      <c r="DBT23" s="41"/>
      <c r="DCE23" s="41"/>
      <c r="DCP23" s="41"/>
      <c r="DDA23" s="41"/>
      <c r="DDL23" s="41"/>
      <c r="DDW23" s="41"/>
      <c r="DEH23" s="41"/>
      <c r="DES23" s="41"/>
      <c r="DFD23" s="41"/>
      <c r="DFO23" s="41"/>
      <c r="DFZ23" s="41"/>
      <c r="DGK23" s="41"/>
      <c r="DGV23" s="41"/>
      <c r="DHG23" s="41"/>
      <c r="DHR23" s="41"/>
      <c r="DIC23" s="41"/>
      <c r="DIN23" s="41"/>
      <c r="DIY23" s="41"/>
      <c r="DJJ23" s="41"/>
      <c r="DJU23" s="41"/>
      <c r="DKF23" s="41"/>
      <c r="DKQ23" s="41"/>
      <c r="DLB23" s="41"/>
      <c r="DLM23" s="41"/>
      <c r="DLX23" s="41"/>
      <c r="DMI23" s="41"/>
      <c r="DMT23" s="41"/>
      <c r="DNE23" s="41"/>
      <c r="DNP23" s="41"/>
      <c r="DOA23" s="41"/>
      <c r="DOL23" s="41"/>
      <c r="DOW23" s="41"/>
      <c r="DPH23" s="41"/>
      <c r="DPS23" s="41"/>
      <c r="DQD23" s="41"/>
      <c r="DQO23" s="41"/>
      <c r="DQZ23" s="41"/>
      <c r="DRK23" s="41"/>
      <c r="DRV23" s="41"/>
      <c r="DSG23" s="41"/>
      <c r="DSR23" s="41"/>
      <c r="DTC23" s="41"/>
      <c r="DTN23" s="41"/>
      <c r="DTY23" s="41"/>
      <c r="DUJ23" s="41"/>
      <c r="DUU23" s="41"/>
      <c r="DVF23" s="41"/>
      <c r="DVQ23" s="41"/>
      <c r="DWB23" s="41"/>
      <c r="DWM23" s="41"/>
      <c r="DWX23" s="41"/>
      <c r="DXI23" s="41"/>
      <c r="DXT23" s="41"/>
      <c r="DYE23" s="41"/>
      <c r="DYP23" s="41"/>
      <c r="DZA23" s="41"/>
      <c r="DZL23" s="41"/>
      <c r="DZW23" s="41"/>
      <c r="EAH23" s="41"/>
      <c r="EAS23" s="41"/>
      <c r="EBD23" s="41"/>
      <c r="EBO23" s="41"/>
      <c r="EBZ23" s="41"/>
      <c r="ECK23" s="41"/>
      <c r="ECV23" s="41"/>
      <c r="EDG23" s="41"/>
      <c r="EDR23" s="41"/>
      <c r="EEC23" s="41"/>
      <c r="EEN23" s="41"/>
      <c r="EEY23" s="41"/>
      <c r="EFJ23" s="41"/>
      <c r="EFU23" s="41"/>
      <c r="EGF23" s="41"/>
      <c r="EGQ23" s="41"/>
      <c r="EHB23" s="41"/>
      <c r="EHM23" s="41"/>
      <c r="EHX23" s="41"/>
      <c r="EII23" s="41"/>
      <c r="EIT23" s="41"/>
      <c r="EJE23" s="41"/>
      <c r="EJP23" s="41"/>
      <c r="EKA23" s="41"/>
      <c r="EKL23" s="41"/>
      <c r="EKW23" s="41"/>
      <c r="ELH23" s="41"/>
      <c r="ELS23" s="41"/>
      <c r="EMD23" s="41"/>
      <c r="EMO23" s="41"/>
      <c r="EMZ23" s="41"/>
      <c r="ENK23" s="41"/>
      <c r="ENV23" s="41"/>
      <c r="EOG23" s="41"/>
      <c r="EOR23" s="41"/>
      <c r="EPC23" s="41"/>
      <c r="EPN23" s="41"/>
      <c r="EPY23" s="41"/>
      <c r="EQJ23" s="41"/>
      <c r="EQU23" s="41"/>
      <c r="ERF23" s="41"/>
      <c r="ERQ23" s="41"/>
      <c r="ESB23" s="41"/>
      <c r="ESM23" s="41"/>
      <c r="ESX23" s="41"/>
      <c r="ETI23" s="41"/>
      <c r="ETT23" s="41"/>
      <c r="EUE23" s="41"/>
      <c r="EUP23" s="41"/>
      <c r="EVA23" s="41"/>
      <c r="EVL23" s="41"/>
      <c r="EVW23" s="41"/>
      <c r="EWH23" s="41"/>
      <c r="EWS23" s="41"/>
      <c r="EXD23" s="41"/>
      <c r="EXO23" s="41"/>
      <c r="EXZ23" s="41"/>
      <c r="EYK23" s="41"/>
      <c r="EYV23" s="41"/>
      <c r="EZG23" s="41"/>
      <c r="EZR23" s="41"/>
      <c r="FAC23" s="41"/>
      <c r="FAN23" s="41"/>
      <c r="FAY23" s="41"/>
      <c r="FBJ23" s="41"/>
      <c r="FBU23" s="41"/>
      <c r="FCF23" s="41"/>
      <c r="FCQ23" s="41"/>
      <c r="FDB23" s="41"/>
      <c r="FDM23" s="41"/>
      <c r="FDX23" s="41"/>
      <c r="FEI23" s="41"/>
      <c r="FET23" s="41"/>
      <c r="FFE23" s="41"/>
      <c r="FFP23" s="41"/>
      <c r="FGA23" s="41"/>
      <c r="FGL23" s="41"/>
      <c r="FGW23" s="41"/>
      <c r="FHH23" s="41"/>
      <c r="FHS23" s="41"/>
      <c r="FID23" s="41"/>
      <c r="FIO23" s="41"/>
      <c r="FIZ23" s="41"/>
      <c r="FJK23" s="41"/>
      <c r="FJV23" s="41"/>
      <c r="FKG23" s="41"/>
      <c r="FKR23" s="41"/>
      <c r="FLC23" s="41"/>
      <c r="FLN23" s="41"/>
      <c r="FLY23" s="41"/>
      <c r="FMJ23" s="41"/>
      <c r="FMU23" s="41"/>
      <c r="FNF23" s="41"/>
      <c r="FNQ23" s="41"/>
      <c r="FOB23" s="41"/>
      <c r="FOM23" s="41"/>
      <c r="FOX23" s="41"/>
      <c r="FPI23" s="41"/>
      <c r="FPT23" s="41"/>
      <c r="FQE23" s="41"/>
      <c r="FQP23" s="41"/>
      <c r="FRA23" s="41"/>
      <c r="FRL23" s="41"/>
      <c r="FRW23" s="41"/>
      <c r="FSH23" s="41"/>
      <c r="FSS23" s="41"/>
      <c r="FTD23" s="41"/>
      <c r="FTO23" s="41"/>
      <c r="FTZ23" s="41"/>
      <c r="FUK23" s="41"/>
      <c r="FUV23" s="41"/>
      <c r="FVG23" s="41"/>
      <c r="FVR23" s="41"/>
      <c r="FWC23" s="41"/>
      <c r="FWN23" s="41"/>
      <c r="FWY23" s="41"/>
      <c r="FXJ23" s="41"/>
      <c r="FXU23" s="41"/>
      <c r="FYF23" s="41"/>
      <c r="FYQ23" s="41"/>
      <c r="FZB23" s="41"/>
      <c r="FZM23" s="41"/>
      <c r="FZX23" s="41"/>
      <c r="GAI23" s="41"/>
      <c r="GAT23" s="41"/>
      <c r="GBE23" s="41"/>
      <c r="GBP23" s="41"/>
      <c r="GCA23" s="41"/>
      <c r="GCL23" s="41"/>
      <c r="GCW23" s="41"/>
      <c r="GDH23" s="41"/>
      <c r="GDS23" s="41"/>
      <c r="GED23" s="41"/>
      <c r="GEO23" s="41"/>
      <c r="GEZ23" s="41"/>
      <c r="GFK23" s="41"/>
      <c r="GFV23" s="41"/>
      <c r="GGG23" s="41"/>
      <c r="GGR23" s="41"/>
      <c r="GHC23" s="41"/>
      <c r="GHN23" s="41"/>
      <c r="GHY23" s="41"/>
      <c r="GIJ23" s="41"/>
      <c r="GIU23" s="41"/>
      <c r="GJF23" s="41"/>
      <c r="GJQ23" s="41"/>
      <c r="GKB23" s="41"/>
      <c r="GKM23" s="41"/>
      <c r="GKX23" s="41"/>
      <c r="GLI23" s="41"/>
      <c r="GLT23" s="41"/>
      <c r="GME23" s="41"/>
      <c r="GMP23" s="41"/>
      <c r="GNA23" s="41"/>
      <c r="GNL23" s="41"/>
      <c r="GNW23" s="41"/>
      <c r="GOH23" s="41"/>
      <c r="GOS23" s="41"/>
      <c r="GPD23" s="41"/>
      <c r="GPO23" s="41"/>
      <c r="GPZ23" s="41"/>
      <c r="GQK23" s="41"/>
      <c r="GQV23" s="41"/>
      <c r="GRG23" s="41"/>
      <c r="GRR23" s="41"/>
      <c r="GSC23" s="41"/>
      <c r="GSN23" s="41"/>
      <c r="GSY23" s="41"/>
      <c r="GTJ23" s="41"/>
      <c r="GTU23" s="41"/>
      <c r="GUF23" s="41"/>
      <c r="GUQ23" s="41"/>
      <c r="GVB23" s="41"/>
      <c r="GVM23" s="41"/>
      <c r="GVX23" s="41"/>
      <c r="GWI23" s="41"/>
      <c r="GWT23" s="41"/>
      <c r="GXE23" s="41"/>
      <c r="GXP23" s="41"/>
      <c r="GYA23" s="41"/>
      <c r="GYL23" s="41"/>
      <c r="GYW23" s="41"/>
      <c r="GZH23" s="41"/>
      <c r="GZS23" s="41"/>
      <c r="HAD23" s="41"/>
      <c r="HAO23" s="41"/>
      <c r="HAZ23" s="41"/>
      <c r="HBK23" s="41"/>
      <c r="HBV23" s="41"/>
      <c r="HCG23" s="41"/>
      <c r="HCR23" s="41"/>
      <c r="HDC23" s="41"/>
      <c r="HDN23" s="41"/>
      <c r="HDY23" s="41"/>
      <c r="HEJ23" s="41"/>
      <c r="HEU23" s="41"/>
      <c r="HFF23" s="41"/>
      <c r="HFQ23" s="41"/>
      <c r="HGB23" s="41"/>
      <c r="HGM23" s="41"/>
      <c r="HGX23" s="41"/>
      <c r="HHI23" s="41"/>
      <c r="HHT23" s="41"/>
      <c r="HIE23" s="41"/>
      <c r="HIP23" s="41"/>
      <c r="HJA23" s="41"/>
      <c r="HJL23" s="41"/>
      <c r="HJW23" s="41"/>
      <c r="HKH23" s="41"/>
      <c r="HKS23" s="41"/>
      <c r="HLD23" s="41"/>
      <c r="HLO23" s="41"/>
      <c r="HLZ23" s="41"/>
      <c r="HMK23" s="41"/>
      <c r="HMV23" s="41"/>
      <c r="HNG23" s="41"/>
      <c r="HNR23" s="41"/>
      <c r="HOC23" s="41"/>
      <c r="HON23" s="41"/>
      <c r="HOY23" s="41"/>
      <c r="HPJ23" s="41"/>
      <c r="HPU23" s="41"/>
      <c r="HQF23" s="41"/>
      <c r="HQQ23" s="41"/>
      <c r="HRB23" s="41"/>
      <c r="HRM23" s="41"/>
      <c r="HRX23" s="41"/>
      <c r="HSI23" s="41"/>
      <c r="HST23" s="41"/>
      <c r="HTE23" s="41"/>
      <c r="HTP23" s="41"/>
      <c r="HUA23" s="41"/>
      <c r="HUL23" s="41"/>
      <c r="HUW23" s="41"/>
      <c r="HVH23" s="41"/>
      <c r="HVS23" s="41"/>
      <c r="HWD23" s="41"/>
      <c r="HWO23" s="41"/>
      <c r="HWZ23" s="41"/>
      <c r="HXK23" s="41"/>
      <c r="HXV23" s="41"/>
      <c r="HYG23" s="41"/>
      <c r="HYR23" s="41"/>
      <c r="HZC23" s="41"/>
      <c r="HZN23" s="41"/>
      <c r="HZY23" s="41"/>
      <c r="IAJ23" s="41"/>
      <c r="IAU23" s="41"/>
      <c r="IBF23" s="41"/>
      <c r="IBQ23" s="41"/>
      <c r="ICB23" s="41"/>
      <c r="ICM23" s="41"/>
      <c r="ICX23" s="41"/>
      <c r="IDI23" s="41"/>
      <c r="IDT23" s="41"/>
      <c r="IEE23" s="41"/>
      <c r="IEP23" s="41"/>
      <c r="IFA23" s="41"/>
      <c r="IFL23" s="41"/>
      <c r="IFW23" s="41"/>
      <c r="IGH23" s="41"/>
      <c r="IGS23" s="41"/>
      <c r="IHD23" s="41"/>
      <c r="IHO23" s="41"/>
      <c r="IHZ23" s="41"/>
      <c r="IIK23" s="41"/>
      <c r="IIV23" s="41"/>
      <c r="IJG23" s="41"/>
      <c r="IJR23" s="41"/>
      <c r="IKC23" s="41"/>
      <c r="IKN23" s="41"/>
      <c r="IKY23" s="41"/>
      <c r="ILJ23" s="41"/>
      <c r="ILU23" s="41"/>
      <c r="IMF23" s="41"/>
      <c r="IMQ23" s="41"/>
      <c r="INB23" s="41"/>
      <c r="INM23" s="41"/>
      <c r="INX23" s="41"/>
      <c r="IOI23" s="41"/>
      <c r="IOT23" s="41"/>
      <c r="IPE23" s="41"/>
      <c r="IPP23" s="41"/>
      <c r="IQA23" s="41"/>
      <c r="IQL23" s="41"/>
      <c r="IQW23" s="41"/>
      <c r="IRH23" s="41"/>
      <c r="IRS23" s="41"/>
      <c r="ISD23" s="41"/>
      <c r="ISO23" s="41"/>
      <c r="ISZ23" s="41"/>
      <c r="ITK23" s="41"/>
      <c r="ITV23" s="41"/>
      <c r="IUG23" s="41"/>
      <c r="IUR23" s="41"/>
      <c r="IVC23" s="41"/>
      <c r="IVN23" s="41"/>
      <c r="IVY23" s="41"/>
      <c r="IWJ23" s="41"/>
      <c r="IWU23" s="41"/>
      <c r="IXF23" s="41"/>
      <c r="IXQ23" s="41"/>
      <c r="IYB23" s="41"/>
      <c r="IYM23" s="41"/>
      <c r="IYX23" s="41"/>
      <c r="IZI23" s="41"/>
      <c r="IZT23" s="41"/>
      <c r="JAE23" s="41"/>
      <c r="JAP23" s="41"/>
      <c r="JBA23" s="41"/>
      <c r="JBL23" s="41"/>
      <c r="JBW23" s="41"/>
      <c r="JCH23" s="41"/>
      <c r="JCS23" s="41"/>
      <c r="JDD23" s="41"/>
      <c r="JDO23" s="41"/>
      <c r="JDZ23" s="41"/>
      <c r="JEK23" s="41"/>
      <c r="JEV23" s="41"/>
      <c r="JFG23" s="41"/>
      <c r="JFR23" s="41"/>
      <c r="JGC23" s="41"/>
      <c r="JGN23" s="41"/>
      <c r="JGY23" s="41"/>
      <c r="JHJ23" s="41"/>
      <c r="JHU23" s="41"/>
      <c r="JIF23" s="41"/>
      <c r="JIQ23" s="41"/>
      <c r="JJB23" s="41"/>
      <c r="JJM23" s="41"/>
      <c r="JJX23" s="41"/>
      <c r="JKI23" s="41"/>
      <c r="JKT23" s="41"/>
      <c r="JLE23" s="41"/>
      <c r="JLP23" s="41"/>
      <c r="JMA23" s="41"/>
      <c r="JML23" s="41"/>
      <c r="JMW23" s="41"/>
      <c r="JNH23" s="41"/>
      <c r="JNS23" s="41"/>
      <c r="JOD23" s="41"/>
      <c r="JOO23" s="41"/>
      <c r="JOZ23" s="41"/>
      <c r="JPK23" s="41"/>
      <c r="JPV23" s="41"/>
      <c r="JQG23" s="41"/>
      <c r="JQR23" s="41"/>
      <c r="JRC23" s="41"/>
      <c r="JRN23" s="41"/>
      <c r="JRY23" s="41"/>
      <c r="JSJ23" s="41"/>
      <c r="JSU23" s="41"/>
      <c r="JTF23" s="41"/>
      <c r="JTQ23" s="41"/>
      <c r="JUB23" s="41"/>
      <c r="JUM23" s="41"/>
      <c r="JUX23" s="41"/>
      <c r="JVI23" s="41"/>
      <c r="JVT23" s="41"/>
      <c r="JWE23" s="41"/>
      <c r="JWP23" s="41"/>
      <c r="JXA23" s="41"/>
      <c r="JXL23" s="41"/>
      <c r="JXW23" s="41"/>
      <c r="JYH23" s="41"/>
      <c r="JYS23" s="41"/>
      <c r="JZD23" s="41"/>
      <c r="JZO23" s="41"/>
      <c r="JZZ23" s="41"/>
      <c r="KAK23" s="41"/>
      <c r="KAV23" s="41"/>
      <c r="KBG23" s="41"/>
      <c r="KBR23" s="41"/>
      <c r="KCC23" s="41"/>
      <c r="KCN23" s="41"/>
      <c r="KCY23" s="41"/>
      <c r="KDJ23" s="41"/>
      <c r="KDU23" s="41"/>
      <c r="KEF23" s="41"/>
      <c r="KEQ23" s="41"/>
      <c r="KFB23" s="41"/>
      <c r="KFM23" s="41"/>
      <c r="KFX23" s="41"/>
      <c r="KGI23" s="41"/>
      <c r="KGT23" s="41"/>
      <c r="KHE23" s="41"/>
      <c r="KHP23" s="41"/>
      <c r="KIA23" s="41"/>
      <c r="KIL23" s="41"/>
      <c r="KIW23" s="41"/>
      <c r="KJH23" s="41"/>
      <c r="KJS23" s="41"/>
      <c r="KKD23" s="41"/>
      <c r="KKO23" s="41"/>
      <c r="KKZ23" s="41"/>
      <c r="KLK23" s="41"/>
      <c r="KLV23" s="41"/>
      <c r="KMG23" s="41"/>
      <c r="KMR23" s="41"/>
      <c r="KNC23" s="41"/>
      <c r="KNN23" s="41"/>
      <c r="KNY23" s="41"/>
      <c r="KOJ23" s="41"/>
      <c r="KOU23" s="41"/>
      <c r="KPF23" s="41"/>
      <c r="KPQ23" s="41"/>
      <c r="KQB23" s="41"/>
      <c r="KQM23" s="41"/>
      <c r="KQX23" s="41"/>
      <c r="KRI23" s="41"/>
      <c r="KRT23" s="41"/>
      <c r="KSE23" s="41"/>
      <c r="KSP23" s="41"/>
      <c r="KTA23" s="41"/>
      <c r="KTL23" s="41"/>
      <c r="KTW23" s="41"/>
      <c r="KUH23" s="41"/>
      <c r="KUS23" s="41"/>
      <c r="KVD23" s="41"/>
      <c r="KVO23" s="41"/>
      <c r="KVZ23" s="41"/>
      <c r="KWK23" s="41"/>
      <c r="KWV23" s="41"/>
      <c r="KXG23" s="41"/>
      <c r="KXR23" s="41"/>
      <c r="KYC23" s="41"/>
      <c r="KYN23" s="41"/>
      <c r="KYY23" s="41"/>
      <c r="KZJ23" s="41"/>
      <c r="KZU23" s="41"/>
      <c r="LAF23" s="41"/>
      <c r="LAQ23" s="41"/>
      <c r="LBB23" s="41"/>
      <c r="LBM23" s="41"/>
      <c r="LBX23" s="41"/>
      <c r="LCI23" s="41"/>
      <c r="LCT23" s="41"/>
      <c r="LDE23" s="41"/>
      <c r="LDP23" s="41"/>
      <c r="LEA23" s="41"/>
      <c r="LEL23" s="41"/>
      <c r="LEW23" s="41"/>
      <c r="LFH23" s="41"/>
      <c r="LFS23" s="41"/>
      <c r="LGD23" s="41"/>
      <c r="LGO23" s="41"/>
      <c r="LGZ23" s="41"/>
      <c r="LHK23" s="41"/>
      <c r="LHV23" s="41"/>
      <c r="LIG23" s="41"/>
      <c r="LIR23" s="41"/>
      <c r="LJC23" s="41"/>
      <c r="LJN23" s="41"/>
      <c r="LJY23" s="41"/>
      <c r="LKJ23" s="41"/>
      <c r="LKU23" s="41"/>
      <c r="LLF23" s="41"/>
      <c r="LLQ23" s="41"/>
      <c r="LMB23" s="41"/>
      <c r="LMM23" s="41"/>
      <c r="LMX23" s="41"/>
      <c r="LNI23" s="41"/>
      <c r="LNT23" s="41"/>
      <c r="LOE23" s="41"/>
      <c r="LOP23" s="41"/>
      <c r="LPA23" s="41"/>
      <c r="LPL23" s="41"/>
      <c r="LPW23" s="41"/>
      <c r="LQH23" s="41"/>
      <c r="LQS23" s="41"/>
      <c r="LRD23" s="41"/>
      <c r="LRO23" s="41"/>
      <c r="LRZ23" s="41"/>
      <c r="LSK23" s="41"/>
      <c r="LSV23" s="41"/>
      <c r="LTG23" s="41"/>
      <c r="LTR23" s="41"/>
      <c r="LUC23" s="41"/>
      <c r="LUN23" s="41"/>
      <c r="LUY23" s="41"/>
      <c r="LVJ23" s="41"/>
      <c r="LVU23" s="41"/>
      <c r="LWF23" s="41"/>
      <c r="LWQ23" s="41"/>
      <c r="LXB23" s="41"/>
      <c r="LXM23" s="41"/>
      <c r="LXX23" s="41"/>
      <c r="LYI23" s="41"/>
      <c r="LYT23" s="41"/>
      <c r="LZE23" s="41"/>
      <c r="LZP23" s="41"/>
      <c r="MAA23" s="41"/>
      <c r="MAL23" s="41"/>
      <c r="MAW23" s="41"/>
      <c r="MBH23" s="41"/>
      <c r="MBS23" s="41"/>
      <c r="MCD23" s="41"/>
      <c r="MCO23" s="41"/>
      <c r="MCZ23" s="41"/>
      <c r="MDK23" s="41"/>
      <c r="MDV23" s="41"/>
      <c r="MEG23" s="41"/>
      <c r="MER23" s="41"/>
      <c r="MFC23" s="41"/>
      <c r="MFN23" s="41"/>
      <c r="MFY23" s="41"/>
      <c r="MGJ23" s="41"/>
      <c r="MGU23" s="41"/>
      <c r="MHF23" s="41"/>
      <c r="MHQ23" s="41"/>
      <c r="MIB23" s="41"/>
      <c r="MIM23" s="41"/>
      <c r="MIX23" s="41"/>
      <c r="MJI23" s="41"/>
      <c r="MJT23" s="41"/>
      <c r="MKE23" s="41"/>
      <c r="MKP23" s="41"/>
      <c r="MLA23" s="41"/>
      <c r="MLL23" s="41"/>
      <c r="MLW23" s="41"/>
      <c r="MMH23" s="41"/>
      <c r="MMS23" s="41"/>
      <c r="MND23" s="41"/>
      <c r="MNO23" s="41"/>
      <c r="MNZ23" s="41"/>
      <c r="MOK23" s="41"/>
      <c r="MOV23" s="41"/>
      <c r="MPG23" s="41"/>
      <c r="MPR23" s="41"/>
      <c r="MQC23" s="41"/>
      <c r="MQN23" s="41"/>
      <c r="MQY23" s="41"/>
      <c r="MRJ23" s="41"/>
      <c r="MRU23" s="41"/>
      <c r="MSF23" s="41"/>
      <c r="MSQ23" s="41"/>
      <c r="MTB23" s="41"/>
      <c r="MTM23" s="41"/>
      <c r="MTX23" s="41"/>
      <c r="MUI23" s="41"/>
      <c r="MUT23" s="41"/>
      <c r="MVE23" s="41"/>
      <c r="MVP23" s="41"/>
      <c r="MWA23" s="41"/>
      <c r="MWL23" s="41"/>
      <c r="MWW23" s="41"/>
      <c r="MXH23" s="41"/>
      <c r="MXS23" s="41"/>
      <c r="MYD23" s="41"/>
      <c r="MYO23" s="41"/>
      <c r="MYZ23" s="41"/>
      <c r="MZK23" s="41"/>
      <c r="MZV23" s="41"/>
      <c r="NAG23" s="41"/>
      <c r="NAR23" s="41"/>
      <c r="NBC23" s="41"/>
      <c r="NBN23" s="41"/>
      <c r="NBY23" s="41"/>
      <c r="NCJ23" s="41"/>
      <c r="NCU23" s="41"/>
      <c r="NDF23" s="41"/>
      <c r="NDQ23" s="41"/>
      <c r="NEB23" s="41"/>
      <c r="NEM23" s="41"/>
      <c r="NEX23" s="41"/>
      <c r="NFI23" s="41"/>
      <c r="NFT23" s="41"/>
      <c r="NGE23" s="41"/>
      <c r="NGP23" s="41"/>
      <c r="NHA23" s="41"/>
      <c r="NHL23" s="41"/>
      <c r="NHW23" s="41"/>
      <c r="NIH23" s="41"/>
      <c r="NIS23" s="41"/>
      <c r="NJD23" s="41"/>
      <c r="NJO23" s="41"/>
      <c r="NJZ23" s="41"/>
      <c r="NKK23" s="41"/>
      <c r="NKV23" s="41"/>
      <c r="NLG23" s="41"/>
      <c r="NLR23" s="41"/>
      <c r="NMC23" s="41"/>
      <c r="NMN23" s="41"/>
      <c r="NMY23" s="41"/>
      <c r="NNJ23" s="41"/>
      <c r="NNU23" s="41"/>
      <c r="NOF23" s="41"/>
      <c r="NOQ23" s="41"/>
      <c r="NPB23" s="41"/>
      <c r="NPM23" s="41"/>
      <c r="NPX23" s="41"/>
      <c r="NQI23" s="41"/>
      <c r="NQT23" s="41"/>
      <c r="NRE23" s="41"/>
      <c r="NRP23" s="41"/>
      <c r="NSA23" s="41"/>
      <c r="NSL23" s="41"/>
      <c r="NSW23" s="41"/>
      <c r="NTH23" s="41"/>
      <c r="NTS23" s="41"/>
      <c r="NUD23" s="41"/>
      <c r="NUO23" s="41"/>
      <c r="NUZ23" s="41"/>
      <c r="NVK23" s="41"/>
      <c r="NVV23" s="41"/>
      <c r="NWG23" s="41"/>
      <c r="NWR23" s="41"/>
      <c r="NXC23" s="41"/>
      <c r="NXN23" s="41"/>
      <c r="NXY23" s="41"/>
      <c r="NYJ23" s="41"/>
      <c r="NYU23" s="41"/>
      <c r="NZF23" s="41"/>
      <c r="NZQ23" s="41"/>
      <c r="OAB23" s="41"/>
      <c r="OAM23" s="41"/>
      <c r="OAX23" s="41"/>
      <c r="OBI23" s="41"/>
      <c r="OBT23" s="41"/>
      <c r="OCE23" s="41"/>
      <c r="OCP23" s="41"/>
      <c r="ODA23" s="41"/>
      <c r="ODL23" s="41"/>
      <c r="ODW23" s="41"/>
      <c r="OEH23" s="41"/>
      <c r="OES23" s="41"/>
      <c r="OFD23" s="41"/>
      <c r="OFO23" s="41"/>
      <c r="OFZ23" s="41"/>
      <c r="OGK23" s="41"/>
      <c r="OGV23" s="41"/>
      <c r="OHG23" s="41"/>
      <c r="OHR23" s="41"/>
      <c r="OIC23" s="41"/>
      <c r="OIN23" s="41"/>
      <c r="OIY23" s="41"/>
      <c r="OJJ23" s="41"/>
      <c r="OJU23" s="41"/>
      <c r="OKF23" s="41"/>
      <c r="OKQ23" s="41"/>
      <c r="OLB23" s="41"/>
      <c r="OLM23" s="41"/>
      <c r="OLX23" s="41"/>
      <c r="OMI23" s="41"/>
      <c r="OMT23" s="41"/>
      <c r="ONE23" s="41"/>
      <c r="ONP23" s="41"/>
      <c r="OOA23" s="41"/>
      <c r="OOL23" s="41"/>
      <c r="OOW23" s="41"/>
      <c r="OPH23" s="41"/>
      <c r="OPS23" s="41"/>
      <c r="OQD23" s="41"/>
      <c r="OQO23" s="41"/>
      <c r="OQZ23" s="41"/>
      <c r="ORK23" s="41"/>
      <c r="ORV23" s="41"/>
      <c r="OSG23" s="41"/>
      <c r="OSR23" s="41"/>
      <c r="OTC23" s="41"/>
      <c r="OTN23" s="41"/>
      <c r="OTY23" s="41"/>
      <c r="OUJ23" s="41"/>
      <c r="OUU23" s="41"/>
      <c r="OVF23" s="41"/>
      <c r="OVQ23" s="41"/>
      <c r="OWB23" s="41"/>
      <c r="OWM23" s="41"/>
      <c r="OWX23" s="41"/>
      <c r="OXI23" s="41"/>
      <c r="OXT23" s="41"/>
      <c r="OYE23" s="41"/>
      <c r="OYP23" s="41"/>
      <c r="OZA23" s="41"/>
      <c r="OZL23" s="41"/>
      <c r="OZW23" s="41"/>
      <c r="PAH23" s="41"/>
      <c r="PAS23" s="41"/>
      <c r="PBD23" s="41"/>
      <c r="PBO23" s="41"/>
      <c r="PBZ23" s="41"/>
      <c r="PCK23" s="41"/>
      <c r="PCV23" s="41"/>
      <c r="PDG23" s="41"/>
      <c r="PDR23" s="41"/>
      <c r="PEC23" s="41"/>
      <c r="PEN23" s="41"/>
      <c r="PEY23" s="41"/>
      <c r="PFJ23" s="41"/>
      <c r="PFU23" s="41"/>
      <c r="PGF23" s="41"/>
      <c r="PGQ23" s="41"/>
      <c r="PHB23" s="41"/>
      <c r="PHM23" s="41"/>
      <c r="PHX23" s="41"/>
      <c r="PII23" s="41"/>
      <c r="PIT23" s="41"/>
      <c r="PJE23" s="41"/>
      <c r="PJP23" s="41"/>
      <c r="PKA23" s="41"/>
      <c r="PKL23" s="41"/>
      <c r="PKW23" s="41"/>
      <c r="PLH23" s="41"/>
      <c r="PLS23" s="41"/>
      <c r="PMD23" s="41"/>
      <c r="PMO23" s="41"/>
      <c r="PMZ23" s="41"/>
      <c r="PNK23" s="41"/>
      <c r="PNV23" s="41"/>
      <c r="POG23" s="41"/>
      <c r="POR23" s="41"/>
      <c r="PPC23" s="41"/>
      <c r="PPN23" s="41"/>
      <c r="PPY23" s="41"/>
      <c r="PQJ23" s="41"/>
      <c r="PQU23" s="41"/>
      <c r="PRF23" s="41"/>
      <c r="PRQ23" s="41"/>
      <c r="PSB23" s="41"/>
      <c r="PSM23" s="41"/>
      <c r="PSX23" s="41"/>
      <c r="PTI23" s="41"/>
      <c r="PTT23" s="41"/>
      <c r="PUE23" s="41"/>
      <c r="PUP23" s="41"/>
      <c r="PVA23" s="41"/>
      <c r="PVL23" s="41"/>
      <c r="PVW23" s="41"/>
      <c r="PWH23" s="41"/>
      <c r="PWS23" s="41"/>
      <c r="PXD23" s="41"/>
      <c r="PXO23" s="41"/>
      <c r="PXZ23" s="41"/>
      <c r="PYK23" s="41"/>
      <c r="PYV23" s="41"/>
      <c r="PZG23" s="41"/>
      <c r="PZR23" s="41"/>
      <c r="QAC23" s="41"/>
      <c r="QAN23" s="41"/>
      <c r="QAY23" s="41"/>
      <c r="QBJ23" s="41"/>
      <c r="QBU23" s="41"/>
      <c r="QCF23" s="41"/>
      <c r="QCQ23" s="41"/>
      <c r="QDB23" s="41"/>
      <c r="QDM23" s="41"/>
      <c r="QDX23" s="41"/>
      <c r="QEI23" s="41"/>
      <c r="QET23" s="41"/>
      <c r="QFE23" s="41"/>
      <c r="QFP23" s="41"/>
      <c r="QGA23" s="41"/>
      <c r="QGL23" s="41"/>
      <c r="QGW23" s="41"/>
      <c r="QHH23" s="41"/>
      <c r="QHS23" s="41"/>
      <c r="QID23" s="41"/>
      <c r="QIO23" s="41"/>
      <c r="QIZ23" s="41"/>
      <c r="QJK23" s="41"/>
      <c r="QJV23" s="41"/>
      <c r="QKG23" s="41"/>
      <c r="QKR23" s="41"/>
      <c r="QLC23" s="41"/>
      <c r="QLN23" s="41"/>
      <c r="QLY23" s="41"/>
      <c r="QMJ23" s="41"/>
      <c r="QMU23" s="41"/>
      <c r="QNF23" s="41"/>
      <c r="QNQ23" s="41"/>
      <c r="QOB23" s="41"/>
      <c r="QOM23" s="41"/>
      <c r="QOX23" s="41"/>
      <c r="QPI23" s="41"/>
      <c r="QPT23" s="41"/>
      <c r="QQE23" s="41"/>
      <c r="QQP23" s="41"/>
      <c r="QRA23" s="41"/>
      <c r="QRL23" s="41"/>
      <c r="QRW23" s="41"/>
      <c r="QSH23" s="41"/>
      <c r="QSS23" s="41"/>
      <c r="QTD23" s="41"/>
      <c r="QTO23" s="41"/>
      <c r="QTZ23" s="41"/>
      <c r="QUK23" s="41"/>
      <c r="QUV23" s="41"/>
      <c r="QVG23" s="41"/>
      <c r="QVR23" s="41"/>
      <c r="QWC23" s="41"/>
      <c r="QWN23" s="41"/>
      <c r="QWY23" s="41"/>
      <c r="QXJ23" s="41"/>
      <c r="QXU23" s="41"/>
      <c r="QYF23" s="41"/>
      <c r="QYQ23" s="41"/>
      <c r="QZB23" s="41"/>
      <c r="QZM23" s="41"/>
      <c r="QZX23" s="41"/>
      <c r="RAI23" s="41"/>
      <c r="RAT23" s="41"/>
      <c r="RBE23" s="41"/>
      <c r="RBP23" s="41"/>
      <c r="RCA23" s="41"/>
      <c r="RCL23" s="41"/>
      <c r="RCW23" s="41"/>
      <c r="RDH23" s="41"/>
      <c r="RDS23" s="41"/>
      <c r="RED23" s="41"/>
      <c r="REO23" s="41"/>
      <c r="REZ23" s="41"/>
      <c r="RFK23" s="41"/>
      <c r="RFV23" s="41"/>
      <c r="RGG23" s="41"/>
      <c r="RGR23" s="41"/>
      <c r="RHC23" s="41"/>
      <c r="RHN23" s="41"/>
      <c r="RHY23" s="41"/>
      <c r="RIJ23" s="41"/>
      <c r="RIU23" s="41"/>
      <c r="RJF23" s="41"/>
      <c r="RJQ23" s="41"/>
      <c r="RKB23" s="41"/>
      <c r="RKM23" s="41"/>
      <c r="RKX23" s="41"/>
      <c r="RLI23" s="41"/>
      <c r="RLT23" s="41"/>
      <c r="RME23" s="41"/>
      <c r="RMP23" s="41"/>
      <c r="RNA23" s="41"/>
      <c r="RNL23" s="41"/>
      <c r="RNW23" s="41"/>
      <c r="ROH23" s="41"/>
      <c r="ROS23" s="41"/>
      <c r="RPD23" s="41"/>
      <c r="RPO23" s="41"/>
      <c r="RPZ23" s="41"/>
      <c r="RQK23" s="41"/>
      <c r="RQV23" s="41"/>
      <c r="RRG23" s="41"/>
      <c r="RRR23" s="41"/>
      <c r="RSC23" s="41"/>
      <c r="RSN23" s="41"/>
      <c r="RSY23" s="41"/>
      <c r="RTJ23" s="41"/>
      <c r="RTU23" s="41"/>
      <c r="RUF23" s="41"/>
      <c r="RUQ23" s="41"/>
      <c r="RVB23" s="41"/>
      <c r="RVM23" s="41"/>
      <c r="RVX23" s="41"/>
      <c r="RWI23" s="41"/>
      <c r="RWT23" s="41"/>
      <c r="RXE23" s="41"/>
      <c r="RXP23" s="41"/>
      <c r="RYA23" s="41"/>
      <c r="RYL23" s="41"/>
      <c r="RYW23" s="41"/>
      <c r="RZH23" s="41"/>
      <c r="RZS23" s="41"/>
      <c r="SAD23" s="41"/>
      <c r="SAO23" s="41"/>
      <c r="SAZ23" s="41"/>
      <c r="SBK23" s="41"/>
      <c r="SBV23" s="41"/>
      <c r="SCG23" s="41"/>
      <c r="SCR23" s="41"/>
      <c r="SDC23" s="41"/>
      <c r="SDN23" s="41"/>
      <c r="SDY23" s="41"/>
      <c r="SEJ23" s="41"/>
      <c r="SEU23" s="41"/>
      <c r="SFF23" s="41"/>
      <c r="SFQ23" s="41"/>
      <c r="SGB23" s="41"/>
      <c r="SGM23" s="41"/>
      <c r="SGX23" s="41"/>
      <c r="SHI23" s="41"/>
      <c r="SHT23" s="41"/>
      <c r="SIE23" s="41"/>
      <c r="SIP23" s="41"/>
      <c r="SJA23" s="41"/>
      <c r="SJL23" s="41"/>
      <c r="SJW23" s="41"/>
      <c r="SKH23" s="41"/>
      <c r="SKS23" s="41"/>
      <c r="SLD23" s="41"/>
      <c r="SLO23" s="41"/>
      <c r="SLZ23" s="41"/>
      <c r="SMK23" s="41"/>
      <c r="SMV23" s="41"/>
      <c r="SNG23" s="41"/>
      <c r="SNR23" s="41"/>
      <c r="SOC23" s="41"/>
      <c r="SON23" s="41"/>
      <c r="SOY23" s="41"/>
      <c r="SPJ23" s="41"/>
      <c r="SPU23" s="41"/>
      <c r="SQF23" s="41"/>
      <c r="SQQ23" s="41"/>
      <c r="SRB23" s="41"/>
      <c r="SRM23" s="41"/>
      <c r="SRX23" s="41"/>
      <c r="SSI23" s="41"/>
      <c r="SST23" s="41"/>
      <c r="STE23" s="41"/>
      <c r="STP23" s="41"/>
      <c r="SUA23" s="41"/>
      <c r="SUL23" s="41"/>
      <c r="SUW23" s="41"/>
      <c r="SVH23" s="41"/>
      <c r="SVS23" s="41"/>
      <c r="SWD23" s="41"/>
      <c r="SWO23" s="41"/>
      <c r="SWZ23" s="41"/>
      <c r="SXK23" s="41"/>
      <c r="SXV23" s="41"/>
      <c r="SYG23" s="41"/>
      <c r="SYR23" s="41"/>
      <c r="SZC23" s="41"/>
      <c r="SZN23" s="41"/>
      <c r="SZY23" s="41"/>
      <c r="TAJ23" s="41"/>
      <c r="TAU23" s="41"/>
      <c r="TBF23" s="41"/>
      <c r="TBQ23" s="41"/>
      <c r="TCB23" s="41"/>
      <c r="TCM23" s="41"/>
      <c r="TCX23" s="41"/>
      <c r="TDI23" s="41"/>
      <c r="TDT23" s="41"/>
      <c r="TEE23" s="41"/>
      <c r="TEP23" s="41"/>
      <c r="TFA23" s="41"/>
      <c r="TFL23" s="41"/>
      <c r="TFW23" s="41"/>
      <c r="TGH23" s="41"/>
      <c r="TGS23" s="41"/>
      <c r="THD23" s="41"/>
      <c r="THO23" s="41"/>
      <c r="THZ23" s="41"/>
      <c r="TIK23" s="41"/>
      <c r="TIV23" s="41"/>
      <c r="TJG23" s="41"/>
      <c r="TJR23" s="41"/>
      <c r="TKC23" s="41"/>
      <c r="TKN23" s="41"/>
      <c r="TKY23" s="41"/>
      <c r="TLJ23" s="41"/>
      <c r="TLU23" s="41"/>
      <c r="TMF23" s="41"/>
      <c r="TMQ23" s="41"/>
      <c r="TNB23" s="41"/>
      <c r="TNM23" s="41"/>
      <c r="TNX23" s="41"/>
      <c r="TOI23" s="41"/>
      <c r="TOT23" s="41"/>
      <c r="TPE23" s="41"/>
      <c r="TPP23" s="41"/>
      <c r="TQA23" s="41"/>
      <c r="TQL23" s="41"/>
      <c r="TQW23" s="41"/>
      <c r="TRH23" s="41"/>
      <c r="TRS23" s="41"/>
      <c r="TSD23" s="41"/>
      <c r="TSO23" s="41"/>
      <c r="TSZ23" s="41"/>
      <c r="TTK23" s="41"/>
      <c r="TTV23" s="41"/>
      <c r="TUG23" s="41"/>
      <c r="TUR23" s="41"/>
      <c r="TVC23" s="41"/>
      <c r="TVN23" s="41"/>
      <c r="TVY23" s="41"/>
      <c r="TWJ23" s="41"/>
      <c r="TWU23" s="41"/>
      <c r="TXF23" s="41"/>
      <c r="TXQ23" s="41"/>
      <c r="TYB23" s="41"/>
      <c r="TYM23" s="41"/>
      <c r="TYX23" s="41"/>
      <c r="TZI23" s="41"/>
      <c r="TZT23" s="41"/>
      <c r="UAE23" s="41"/>
      <c r="UAP23" s="41"/>
      <c r="UBA23" s="41"/>
      <c r="UBL23" s="41"/>
      <c r="UBW23" s="41"/>
      <c r="UCH23" s="41"/>
      <c r="UCS23" s="41"/>
      <c r="UDD23" s="41"/>
      <c r="UDO23" s="41"/>
      <c r="UDZ23" s="41"/>
      <c r="UEK23" s="41"/>
      <c r="UEV23" s="41"/>
      <c r="UFG23" s="41"/>
      <c r="UFR23" s="41"/>
      <c r="UGC23" s="41"/>
      <c r="UGN23" s="41"/>
      <c r="UGY23" s="41"/>
      <c r="UHJ23" s="41"/>
      <c r="UHU23" s="41"/>
      <c r="UIF23" s="41"/>
      <c r="UIQ23" s="41"/>
      <c r="UJB23" s="41"/>
      <c r="UJM23" s="41"/>
      <c r="UJX23" s="41"/>
      <c r="UKI23" s="41"/>
      <c r="UKT23" s="41"/>
      <c r="ULE23" s="41"/>
      <c r="ULP23" s="41"/>
      <c r="UMA23" s="41"/>
      <c r="UML23" s="41"/>
      <c r="UMW23" s="41"/>
      <c r="UNH23" s="41"/>
      <c r="UNS23" s="41"/>
      <c r="UOD23" s="41"/>
      <c r="UOO23" s="41"/>
      <c r="UOZ23" s="41"/>
      <c r="UPK23" s="41"/>
      <c r="UPV23" s="41"/>
      <c r="UQG23" s="41"/>
      <c r="UQR23" s="41"/>
      <c r="URC23" s="41"/>
      <c r="URN23" s="41"/>
      <c r="URY23" s="41"/>
      <c r="USJ23" s="41"/>
      <c r="USU23" s="41"/>
      <c r="UTF23" s="41"/>
      <c r="UTQ23" s="41"/>
      <c r="UUB23" s="41"/>
      <c r="UUM23" s="41"/>
      <c r="UUX23" s="41"/>
      <c r="UVI23" s="41"/>
      <c r="UVT23" s="41"/>
      <c r="UWE23" s="41"/>
      <c r="UWP23" s="41"/>
      <c r="UXA23" s="41"/>
      <c r="UXL23" s="41"/>
      <c r="UXW23" s="41"/>
      <c r="UYH23" s="41"/>
      <c r="UYS23" s="41"/>
      <c r="UZD23" s="41"/>
      <c r="UZO23" s="41"/>
      <c r="UZZ23" s="41"/>
      <c r="VAK23" s="41"/>
      <c r="VAV23" s="41"/>
      <c r="VBG23" s="41"/>
      <c r="VBR23" s="41"/>
      <c r="VCC23" s="41"/>
      <c r="VCN23" s="41"/>
      <c r="VCY23" s="41"/>
      <c r="VDJ23" s="41"/>
      <c r="VDU23" s="41"/>
      <c r="VEF23" s="41"/>
      <c r="VEQ23" s="41"/>
      <c r="VFB23" s="41"/>
      <c r="VFM23" s="41"/>
      <c r="VFX23" s="41"/>
      <c r="VGI23" s="41"/>
      <c r="VGT23" s="41"/>
      <c r="VHE23" s="41"/>
      <c r="VHP23" s="41"/>
      <c r="VIA23" s="41"/>
      <c r="VIL23" s="41"/>
      <c r="VIW23" s="41"/>
      <c r="VJH23" s="41"/>
      <c r="VJS23" s="41"/>
      <c r="VKD23" s="41"/>
      <c r="VKO23" s="41"/>
      <c r="VKZ23" s="41"/>
      <c r="VLK23" s="41"/>
      <c r="VLV23" s="41"/>
      <c r="VMG23" s="41"/>
      <c r="VMR23" s="41"/>
      <c r="VNC23" s="41"/>
      <c r="VNN23" s="41"/>
      <c r="VNY23" s="41"/>
      <c r="VOJ23" s="41"/>
      <c r="VOU23" s="41"/>
      <c r="VPF23" s="41"/>
      <c r="VPQ23" s="41"/>
      <c r="VQB23" s="41"/>
      <c r="VQM23" s="41"/>
      <c r="VQX23" s="41"/>
      <c r="VRI23" s="41"/>
      <c r="VRT23" s="41"/>
      <c r="VSE23" s="41"/>
      <c r="VSP23" s="41"/>
      <c r="VTA23" s="41"/>
      <c r="VTL23" s="41"/>
      <c r="VTW23" s="41"/>
      <c r="VUH23" s="41"/>
      <c r="VUS23" s="41"/>
      <c r="VVD23" s="41"/>
      <c r="VVO23" s="41"/>
      <c r="VVZ23" s="41"/>
      <c r="VWK23" s="41"/>
      <c r="VWV23" s="41"/>
      <c r="VXG23" s="41"/>
      <c r="VXR23" s="41"/>
      <c r="VYC23" s="41"/>
      <c r="VYN23" s="41"/>
      <c r="VYY23" s="41"/>
      <c r="VZJ23" s="41"/>
      <c r="VZU23" s="41"/>
      <c r="WAF23" s="41"/>
      <c r="WAQ23" s="41"/>
      <c r="WBB23" s="41"/>
      <c r="WBM23" s="41"/>
      <c r="WBX23" s="41"/>
      <c r="WCI23" s="41"/>
      <c r="WCT23" s="41"/>
      <c r="WDE23" s="41"/>
      <c r="WDP23" s="41"/>
      <c r="WEA23" s="41"/>
      <c r="WEL23" s="41"/>
      <c r="WEW23" s="41"/>
      <c r="WFH23" s="41"/>
      <c r="WFS23" s="41"/>
      <c r="WGD23" s="41"/>
      <c r="WGO23" s="41"/>
      <c r="WGZ23" s="41"/>
      <c r="WHK23" s="41"/>
      <c r="WHV23" s="41"/>
      <c r="WIG23" s="41"/>
      <c r="WIR23" s="41"/>
      <c r="WJC23" s="41"/>
      <c r="WJN23" s="41"/>
      <c r="WJY23" s="41"/>
      <c r="WKJ23" s="41"/>
      <c r="WKU23" s="41"/>
      <c r="WLF23" s="41"/>
      <c r="WLQ23" s="41"/>
      <c r="WMB23" s="41"/>
      <c r="WMM23" s="41"/>
      <c r="WMX23" s="41"/>
      <c r="WNI23" s="41"/>
      <c r="WNT23" s="41"/>
      <c r="WOE23" s="41"/>
      <c r="WOP23" s="41"/>
      <c r="WPA23" s="41"/>
      <c r="WPL23" s="41"/>
      <c r="WPW23" s="41"/>
      <c r="WQH23" s="41"/>
      <c r="WQS23" s="41"/>
      <c r="WRD23" s="41"/>
      <c r="WRO23" s="41"/>
      <c r="WRZ23" s="41"/>
      <c r="WSK23" s="41"/>
      <c r="WSV23" s="41"/>
      <c r="WTG23" s="41"/>
      <c r="WTR23" s="41"/>
      <c r="WUC23" s="41"/>
      <c r="WUN23" s="41"/>
      <c r="WUY23" s="41"/>
      <c r="WVJ23" s="41"/>
      <c r="WVU23" s="41"/>
      <c r="WWF23" s="41"/>
      <c r="WWQ23" s="41"/>
      <c r="WXB23" s="41"/>
      <c r="WXM23" s="41"/>
      <c r="WXX23" s="41"/>
      <c r="WYI23" s="41"/>
      <c r="WYT23" s="41"/>
      <c r="WZE23" s="41"/>
      <c r="WZP23" s="41"/>
      <c r="XAA23" s="41"/>
      <c r="XAL23" s="41"/>
      <c r="XAW23" s="41"/>
      <c r="XBH23" s="41"/>
      <c r="XBS23" s="41"/>
      <c r="XCD23" s="41"/>
      <c r="XCO23" s="41"/>
      <c r="XCZ23" s="41"/>
      <c r="XDK23" s="41"/>
      <c r="XDV23" s="41"/>
      <c r="XEG23" s="41"/>
      <c r="XER23" s="41"/>
      <c r="XFC23" s="41"/>
    </row>
    <row r="24" spans="1:1016 1027:2039 2050:3062 3073:4096 4107:5119 5130:6142 6153:7165 7176:8188 8199:9211 9222:10234 10245:11257 11268:12280 12291:13303 13314:14326 14337:15360 15371:16383" ht="3.9" customHeight="1">
      <c r="I24" s="9"/>
      <c r="P24" s="221"/>
      <c r="Q24" s="221"/>
      <c r="R24" s="221"/>
      <c r="S24" s="221"/>
      <c r="T24" s="221"/>
      <c r="U24" s="204"/>
      <c r="V24" s="204"/>
      <c r="W24" s="204"/>
      <c r="X24" s="204"/>
      <c r="Y24" s="204"/>
      <c r="Z24" s="204"/>
      <c r="AA24" t="s">
        <v>263</v>
      </c>
    </row>
    <row r="25" spans="1:1016 1027:2039 2050:3062 3073:4096 4107:5119 5130:6142 6153:7165 7176:8188 8199:9211 9222:10234 10245:11257 11268:12280 12291:13303 13314:14326 14337:15360 15371:16383" s="40" customFormat="1" ht="23.4" customHeight="1">
      <c r="D25" s="213" t="s">
        <v>339</v>
      </c>
      <c r="E25" s="213"/>
      <c r="F25" s="213"/>
      <c r="G25" s="214"/>
      <c r="H25" s="87"/>
      <c r="I25" s="42" t="s">
        <v>216</v>
      </c>
      <c r="P25" s="221"/>
      <c r="Q25" s="221"/>
      <c r="R25" s="221"/>
      <c r="S25" s="221"/>
      <c r="T25" s="221"/>
      <c r="U25" s="204"/>
      <c r="V25" s="204"/>
      <c r="W25" s="204"/>
      <c r="X25" s="204"/>
      <c r="Y25" s="204"/>
      <c r="Z25" s="204"/>
      <c r="AA25" s="40" t="s">
        <v>264</v>
      </c>
      <c r="AK25" s="41"/>
      <c r="AV25" s="41"/>
      <c r="BG25" s="41"/>
      <c r="BR25" s="41"/>
      <c r="CC25" s="41"/>
      <c r="CN25" s="41"/>
      <c r="CY25" s="41"/>
      <c r="DJ25" s="41"/>
      <c r="DU25" s="41"/>
      <c r="EF25" s="41"/>
      <c r="EQ25" s="41"/>
      <c r="FB25" s="41"/>
      <c r="FM25" s="41"/>
      <c r="FX25" s="41"/>
      <c r="GI25" s="41"/>
      <c r="GT25" s="41"/>
      <c r="HE25" s="41"/>
      <c r="HP25" s="41"/>
      <c r="IA25" s="41"/>
      <c r="IL25" s="41"/>
      <c r="IW25" s="41"/>
      <c r="JH25" s="41"/>
      <c r="JS25" s="41"/>
      <c r="KD25" s="41"/>
      <c r="KO25" s="41"/>
      <c r="KZ25" s="41"/>
      <c r="LK25" s="41"/>
      <c r="LV25" s="41"/>
      <c r="MG25" s="41"/>
      <c r="MR25" s="41"/>
      <c r="NC25" s="41"/>
      <c r="NN25" s="41"/>
      <c r="NY25" s="41"/>
      <c r="OJ25" s="41"/>
      <c r="OU25" s="41"/>
      <c r="PF25" s="41"/>
      <c r="PQ25" s="41"/>
      <c r="QB25" s="41"/>
      <c r="QM25" s="41"/>
      <c r="QX25" s="41"/>
      <c r="RI25" s="41"/>
      <c r="RT25" s="41"/>
      <c r="SE25" s="41"/>
      <c r="SP25" s="41"/>
      <c r="TA25" s="41"/>
      <c r="TL25" s="41"/>
      <c r="TW25" s="41"/>
      <c r="UH25" s="41"/>
      <c r="US25" s="41"/>
      <c r="VD25" s="41"/>
      <c r="VO25" s="41"/>
      <c r="VZ25" s="41"/>
      <c r="WK25" s="41"/>
      <c r="WV25" s="41"/>
      <c r="XG25" s="41"/>
      <c r="XR25" s="41"/>
      <c r="YC25" s="41"/>
      <c r="YN25" s="41"/>
      <c r="YY25" s="41"/>
      <c r="ZJ25" s="41"/>
      <c r="ZU25" s="41"/>
      <c r="AAF25" s="41"/>
      <c r="AAQ25" s="41"/>
      <c r="ABB25" s="41"/>
      <c r="ABM25" s="41"/>
      <c r="ABX25" s="41"/>
      <c r="ACI25" s="41"/>
      <c r="ACT25" s="41"/>
      <c r="ADE25" s="41"/>
      <c r="ADP25" s="41"/>
      <c r="AEA25" s="41"/>
      <c r="AEL25" s="41"/>
      <c r="AEW25" s="41"/>
      <c r="AFH25" s="41"/>
      <c r="AFS25" s="41"/>
      <c r="AGD25" s="41"/>
      <c r="AGO25" s="41"/>
      <c r="AGZ25" s="41"/>
      <c r="AHK25" s="41"/>
      <c r="AHV25" s="41"/>
      <c r="AIG25" s="41"/>
      <c r="AIR25" s="41"/>
      <c r="AJC25" s="41"/>
      <c r="AJN25" s="41"/>
      <c r="AJY25" s="41"/>
      <c r="AKJ25" s="41"/>
      <c r="AKU25" s="41"/>
      <c r="ALF25" s="41"/>
      <c r="ALQ25" s="41"/>
      <c r="AMB25" s="41"/>
      <c r="AMM25" s="41"/>
      <c r="AMX25" s="41"/>
      <c r="ANI25" s="41"/>
      <c r="ANT25" s="41"/>
      <c r="AOE25" s="41"/>
      <c r="AOP25" s="41"/>
      <c r="APA25" s="41"/>
      <c r="APL25" s="41"/>
      <c r="APW25" s="41"/>
      <c r="AQH25" s="41"/>
      <c r="AQS25" s="41"/>
      <c r="ARD25" s="41"/>
      <c r="ARO25" s="41"/>
      <c r="ARZ25" s="41"/>
      <c r="ASK25" s="41"/>
      <c r="ASV25" s="41"/>
      <c r="ATG25" s="41"/>
      <c r="ATR25" s="41"/>
      <c r="AUC25" s="41"/>
      <c r="AUN25" s="41"/>
      <c r="AUY25" s="41"/>
      <c r="AVJ25" s="41"/>
      <c r="AVU25" s="41"/>
      <c r="AWF25" s="41"/>
      <c r="AWQ25" s="41"/>
      <c r="AXB25" s="41"/>
      <c r="AXM25" s="41"/>
      <c r="AXX25" s="41"/>
      <c r="AYI25" s="41"/>
      <c r="AYT25" s="41"/>
      <c r="AZE25" s="41"/>
      <c r="AZP25" s="41"/>
      <c r="BAA25" s="41"/>
      <c r="BAL25" s="41"/>
      <c r="BAW25" s="41"/>
      <c r="BBH25" s="41"/>
      <c r="BBS25" s="41"/>
      <c r="BCD25" s="41"/>
      <c r="BCO25" s="41"/>
      <c r="BCZ25" s="41"/>
      <c r="BDK25" s="41"/>
      <c r="BDV25" s="41"/>
      <c r="BEG25" s="41"/>
      <c r="BER25" s="41"/>
      <c r="BFC25" s="41"/>
      <c r="BFN25" s="41"/>
      <c r="BFY25" s="41"/>
      <c r="BGJ25" s="41"/>
      <c r="BGU25" s="41"/>
      <c r="BHF25" s="41"/>
      <c r="BHQ25" s="41"/>
      <c r="BIB25" s="41"/>
      <c r="BIM25" s="41"/>
      <c r="BIX25" s="41"/>
      <c r="BJI25" s="41"/>
      <c r="BJT25" s="41"/>
      <c r="BKE25" s="41"/>
      <c r="BKP25" s="41"/>
      <c r="BLA25" s="41"/>
      <c r="BLL25" s="41"/>
      <c r="BLW25" s="41"/>
      <c r="BMH25" s="41"/>
      <c r="BMS25" s="41"/>
      <c r="BND25" s="41"/>
      <c r="BNO25" s="41"/>
      <c r="BNZ25" s="41"/>
      <c r="BOK25" s="41"/>
      <c r="BOV25" s="41"/>
      <c r="BPG25" s="41"/>
      <c r="BPR25" s="41"/>
      <c r="BQC25" s="41"/>
      <c r="BQN25" s="41"/>
      <c r="BQY25" s="41"/>
      <c r="BRJ25" s="41"/>
      <c r="BRU25" s="41"/>
      <c r="BSF25" s="41"/>
      <c r="BSQ25" s="41"/>
      <c r="BTB25" s="41"/>
      <c r="BTM25" s="41"/>
      <c r="BTX25" s="41"/>
      <c r="BUI25" s="41"/>
      <c r="BUT25" s="41"/>
      <c r="BVE25" s="41"/>
      <c r="BVP25" s="41"/>
      <c r="BWA25" s="41"/>
      <c r="BWL25" s="41"/>
      <c r="BWW25" s="41"/>
      <c r="BXH25" s="41"/>
      <c r="BXS25" s="41"/>
      <c r="BYD25" s="41"/>
      <c r="BYO25" s="41"/>
      <c r="BYZ25" s="41"/>
      <c r="BZK25" s="41"/>
      <c r="BZV25" s="41"/>
      <c r="CAG25" s="41"/>
      <c r="CAR25" s="41"/>
      <c r="CBC25" s="41"/>
      <c r="CBN25" s="41"/>
      <c r="CBY25" s="41"/>
      <c r="CCJ25" s="41"/>
      <c r="CCU25" s="41"/>
      <c r="CDF25" s="41"/>
      <c r="CDQ25" s="41"/>
      <c r="CEB25" s="41"/>
      <c r="CEM25" s="41"/>
      <c r="CEX25" s="41"/>
      <c r="CFI25" s="41"/>
      <c r="CFT25" s="41"/>
      <c r="CGE25" s="41"/>
      <c r="CGP25" s="41"/>
      <c r="CHA25" s="41"/>
      <c r="CHL25" s="41"/>
      <c r="CHW25" s="41"/>
      <c r="CIH25" s="41"/>
      <c r="CIS25" s="41"/>
      <c r="CJD25" s="41"/>
      <c r="CJO25" s="41"/>
      <c r="CJZ25" s="41"/>
      <c r="CKK25" s="41"/>
      <c r="CKV25" s="41"/>
      <c r="CLG25" s="41"/>
      <c r="CLR25" s="41"/>
      <c r="CMC25" s="41"/>
      <c r="CMN25" s="41"/>
      <c r="CMY25" s="41"/>
      <c r="CNJ25" s="41"/>
      <c r="CNU25" s="41"/>
      <c r="COF25" s="41"/>
      <c r="COQ25" s="41"/>
      <c r="CPB25" s="41"/>
      <c r="CPM25" s="41"/>
      <c r="CPX25" s="41"/>
      <c r="CQI25" s="41"/>
      <c r="CQT25" s="41"/>
      <c r="CRE25" s="41"/>
      <c r="CRP25" s="41"/>
      <c r="CSA25" s="41"/>
      <c r="CSL25" s="41"/>
      <c r="CSW25" s="41"/>
      <c r="CTH25" s="41"/>
      <c r="CTS25" s="41"/>
      <c r="CUD25" s="41"/>
      <c r="CUO25" s="41"/>
      <c r="CUZ25" s="41"/>
      <c r="CVK25" s="41"/>
      <c r="CVV25" s="41"/>
      <c r="CWG25" s="41"/>
      <c r="CWR25" s="41"/>
      <c r="CXC25" s="41"/>
      <c r="CXN25" s="41"/>
      <c r="CXY25" s="41"/>
      <c r="CYJ25" s="41"/>
      <c r="CYU25" s="41"/>
      <c r="CZF25" s="41"/>
      <c r="CZQ25" s="41"/>
      <c r="DAB25" s="41"/>
      <c r="DAM25" s="41"/>
      <c r="DAX25" s="41"/>
      <c r="DBI25" s="41"/>
      <c r="DBT25" s="41"/>
      <c r="DCE25" s="41"/>
      <c r="DCP25" s="41"/>
      <c r="DDA25" s="41"/>
      <c r="DDL25" s="41"/>
      <c r="DDW25" s="41"/>
      <c r="DEH25" s="41"/>
      <c r="DES25" s="41"/>
      <c r="DFD25" s="41"/>
      <c r="DFO25" s="41"/>
      <c r="DFZ25" s="41"/>
      <c r="DGK25" s="41"/>
      <c r="DGV25" s="41"/>
      <c r="DHG25" s="41"/>
      <c r="DHR25" s="41"/>
      <c r="DIC25" s="41"/>
      <c r="DIN25" s="41"/>
      <c r="DIY25" s="41"/>
      <c r="DJJ25" s="41"/>
      <c r="DJU25" s="41"/>
      <c r="DKF25" s="41"/>
      <c r="DKQ25" s="41"/>
      <c r="DLB25" s="41"/>
      <c r="DLM25" s="41"/>
      <c r="DLX25" s="41"/>
      <c r="DMI25" s="41"/>
      <c r="DMT25" s="41"/>
      <c r="DNE25" s="41"/>
      <c r="DNP25" s="41"/>
      <c r="DOA25" s="41"/>
      <c r="DOL25" s="41"/>
      <c r="DOW25" s="41"/>
      <c r="DPH25" s="41"/>
      <c r="DPS25" s="41"/>
      <c r="DQD25" s="41"/>
      <c r="DQO25" s="41"/>
      <c r="DQZ25" s="41"/>
      <c r="DRK25" s="41"/>
      <c r="DRV25" s="41"/>
      <c r="DSG25" s="41"/>
      <c r="DSR25" s="41"/>
      <c r="DTC25" s="41"/>
      <c r="DTN25" s="41"/>
      <c r="DTY25" s="41"/>
      <c r="DUJ25" s="41"/>
      <c r="DUU25" s="41"/>
      <c r="DVF25" s="41"/>
      <c r="DVQ25" s="41"/>
      <c r="DWB25" s="41"/>
      <c r="DWM25" s="41"/>
      <c r="DWX25" s="41"/>
      <c r="DXI25" s="41"/>
      <c r="DXT25" s="41"/>
      <c r="DYE25" s="41"/>
      <c r="DYP25" s="41"/>
      <c r="DZA25" s="41"/>
      <c r="DZL25" s="41"/>
      <c r="DZW25" s="41"/>
      <c r="EAH25" s="41"/>
      <c r="EAS25" s="41"/>
      <c r="EBD25" s="41"/>
      <c r="EBO25" s="41"/>
      <c r="EBZ25" s="41"/>
      <c r="ECK25" s="41"/>
      <c r="ECV25" s="41"/>
      <c r="EDG25" s="41"/>
      <c r="EDR25" s="41"/>
      <c r="EEC25" s="41"/>
      <c r="EEN25" s="41"/>
      <c r="EEY25" s="41"/>
      <c r="EFJ25" s="41"/>
      <c r="EFU25" s="41"/>
      <c r="EGF25" s="41"/>
      <c r="EGQ25" s="41"/>
      <c r="EHB25" s="41"/>
      <c r="EHM25" s="41"/>
      <c r="EHX25" s="41"/>
      <c r="EII25" s="41"/>
      <c r="EIT25" s="41"/>
      <c r="EJE25" s="41"/>
      <c r="EJP25" s="41"/>
      <c r="EKA25" s="41"/>
      <c r="EKL25" s="41"/>
      <c r="EKW25" s="41"/>
      <c r="ELH25" s="41"/>
      <c r="ELS25" s="41"/>
      <c r="EMD25" s="41"/>
      <c r="EMO25" s="41"/>
      <c r="EMZ25" s="41"/>
      <c r="ENK25" s="41"/>
      <c r="ENV25" s="41"/>
      <c r="EOG25" s="41"/>
      <c r="EOR25" s="41"/>
      <c r="EPC25" s="41"/>
      <c r="EPN25" s="41"/>
      <c r="EPY25" s="41"/>
      <c r="EQJ25" s="41"/>
      <c r="EQU25" s="41"/>
      <c r="ERF25" s="41"/>
      <c r="ERQ25" s="41"/>
      <c r="ESB25" s="41"/>
      <c r="ESM25" s="41"/>
      <c r="ESX25" s="41"/>
      <c r="ETI25" s="41"/>
      <c r="ETT25" s="41"/>
      <c r="EUE25" s="41"/>
      <c r="EUP25" s="41"/>
      <c r="EVA25" s="41"/>
      <c r="EVL25" s="41"/>
      <c r="EVW25" s="41"/>
      <c r="EWH25" s="41"/>
      <c r="EWS25" s="41"/>
      <c r="EXD25" s="41"/>
      <c r="EXO25" s="41"/>
      <c r="EXZ25" s="41"/>
      <c r="EYK25" s="41"/>
      <c r="EYV25" s="41"/>
      <c r="EZG25" s="41"/>
      <c r="EZR25" s="41"/>
      <c r="FAC25" s="41"/>
      <c r="FAN25" s="41"/>
      <c r="FAY25" s="41"/>
      <c r="FBJ25" s="41"/>
      <c r="FBU25" s="41"/>
      <c r="FCF25" s="41"/>
      <c r="FCQ25" s="41"/>
      <c r="FDB25" s="41"/>
      <c r="FDM25" s="41"/>
      <c r="FDX25" s="41"/>
      <c r="FEI25" s="41"/>
      <c r="FET25" s="41"/>
      <c r="FFE25" s="41"/>
      <c r="FFP25" s="41"/>
      <c r="FGA25" s="41"/>
      <c r="FGL25" s="41"/>
      <c r="FGW25" s="41"/>
      <c r="FHH25" s="41"/>
      <c r="FHS25" s="41"/>
      <c r="FID25" s="41"/>
      <c r="FIO25" s="41"/>
      <c r="FIZ25" s="41"/>
      <c r="FJK25" s="41"/>
      <c r="FJV25" s="41"/>
      <c r="FKG25" s="41"/>
      <c r="FKR25" s="41"/>
      <c r="FLC25" s="41"/>
      <c r="FLN25" s="41"/>
      <c r="FLY25" s="41"/>
      <c r="FMJ25" s="41"/>
      <c r="FMU25" s="41"/>
      <c r="FNF25" s="41"/>
      <c r="FNQ25" s="41"/>
      <c r="FOB25" s="41"/>
      <c r="FOM25" s="41"/>
      <c r="FOX25" s="41"/>
      <c r="FPI25" s="41"/>
      <c r="FPT25" s="41"/>
      <c r="FQE25" s="41"/>
      <c r="FQP25" s="41"/>
      <c r="FRA25" s="41"/>
      <c r="FRL25" s="41"/>
      <c r="FRW25" s="41"/>
      <c r="FSH25" s="41"/>
      <c r="FSS25" s="41"/>
      <c r="FTD25" s="41"/>
      <c r="FTO25" s="41"/>
      <c r="FTZ25" s="41"/>
      <c r="FUK25" s="41"/>
      <c r="FUV25" s="41"/>
      <c r="FVG25" s="41"/>
      <c r="FVR25" s="41"/>
      <c r="FWC25" s="41"/>
      <c r="FWN25" s="41"/>
      <c r="FWY25" s="41"/>
      <c r="FXJ25" s="41"/>
      <c r="FXU25" s="41"/>
      <c r="FYF25" s="41"/>
      <c r="FYQ25" s="41"/>
      <c r="FZB25" s="41"/>
      <c r="FZM25" s="41"/>
      <c r="FZX25" s="41"/>
      <c r="GAI25" s="41"/>
      <c r="GAT25" s="41"/>
      <c r="GBE25" s="41"/>
      <c r="GBP25" s="41"/>
      <c r="GCA25" s="41"/>
      <c r="GCL25" s="41"/>
      <c r="GCW25" s="41"/>
      <c r="GDH25" s="41"/>
      <c r="GDS25" s="41"/>
      <c r="GED25" s="41"/>
      <c r="GEO25" s="41"/>
      <c r="GEZ25" s="41"/>
      <c r="GFK25" s="41"/>
      <c r="GFV25" s="41"/>
      <c r="GGG25" s="41"/>
      <c r="GGR25" s="41"/>
      <c r="GHC25" s="41"/>
      <c r="GHN25" s="41"/>
      <c r="GHY25" s="41"/>
      <c r="GIJ25" s="41"/>
      <c r="GIU25" s="41"/>
      <c r="GJF25" s="41"/>
      <c r="GJQ25" s="41"/>
      <c r="GKB25" s="41"/>
      <c r="GKM25" s="41"/>
      <c r="GKX25" s="41"/>
      <c r="GLI25" s="41"/>
      <c r="GLT25" s="41"/>
      <c r="GME25" s="41"/>
      <c r="GMP25" s="41"/>
      <c r="GNA25" s="41"/>
      <c r="GNL25" s="41"/>
      <c r="GNW25" s="41"/>
      <c r="GOH25" s="41"/>
      <c r="GOS25" s="41"/>
      <c r="GPD25" s="41"/>
      <c r="GPO25" s="41"/>
      <c r="GPZ25" s="41"/>
      <c r="GQK25" s="41"/>
      <c r="GQV25" s="41"/>
      <c r="GRG25" s="41"/>
      <c r="GRR25" s="41"/>
      <c r="GSC25" s="41"/>
      <c r="GSN25" s="41"/>
      <c r="GSY25" s="41"/>
      <c r="GTJ25" s="41"/>
      <c r="GTU25" s="41"/>
      <c r="GUF25" s="41"/>
      <c r="GUQ25" s="41"/>
      <c r="GVB25" s="41"/>
      <c r="GVM25" s="41"/>
      <c r="GVX25" s="41"/>
      <c r="GWI25" s="41"/>
      <c r="GWT25" s="41"/>
      <c r="GXE25" s="41"/>
      <c r="GXP25" s="41"/>
      <c r="GYA25" s="41"/>
      <c r="GYL25" s="41"/>
      <c r="GYW25" s="41"/>
      <c r="GZH25" s="41"/>
      <c r="GZS25" s="41"/>
      <c r="HAD25" s="41"/>
      <c r="HAO25" s="41"/>
      <c r="HAZ25" s="41"/>
      <c r="HBK25" s="41"/>
      <c r="HBV25" s="41"/>
      <c r="HCG25" s="41"/>
      <c r="HCR25" s="41"/>
      <c r="HDC25" s="41"/>
      <c r="HDN25" s="41"/>
      <c r="HDY25" s="41"/>
      <c r="HEJ25" s="41"/>
      <c r="HEU25" s="41"/>
      <c r="HFF25" s="41"/>
      <c r="HFQ25" s="41"/>
      <c r="HGB25" s="41"/>
      <c r="HGM25" s="41"/>
      <c r="HGX25" s="41"/>
      <c r="HHI25" s="41"/>
      <c r="HHT25" s="41"/>
      <c r="HIE25" s="41"/>
      <c r="HIP25" s="41"/>
      <c r="HJA25" s="41"/>
      <c r="HJL25" s="41"/>
      <c r="HJW25" s="41"/>
      <c r="HKH25" s="41"/>
      <c r="HKS25" s="41"/>
      <c r="HLD25" s="41"/>
      <c r="HLO25" s="41"/>
      <c r="HLZ25" s="41"/>
      <c r="HMK25" s="41"/>
      <c r="HMV25" s="41"/>
      <c r="HNG25" s="41"/>
      <c r="HNR25" s="41"/>
      <c r="HOC25" s="41"/>
      <c r="HON25" s="41"/>
      <c r="HOY25" s="41"/>
      <c r="HPJ25" s="41"/>
      <c r="HPU25" s="41"/>
      <c r="HQF25" s="41"/>
      <c r="HQQ25" s="41"/>
      <c r="HRB25" s="41"/>
      <c r="HRM25" s="41"/>
      <c r="HRX25" s="41"/>
      <c r="HSI25" s="41"/>
      <c r="HST25" s="41"/>
      <c r="HTE25" s="41"/>
      <c r="HTP25" s="41"/>
      <c r="HUA25" s="41"/>
      <c r="HUL25" s="41"/>
      <c r="HUW25" s="41"/>
      <c r="HVH25" s="41"/>
      <c r="HVS25" s="41"/>
      <c r="HWD25" s="41"/>
      <c r="HWO25" s="41"/>
      <c r="HWZ25" s="41"/>
      <c r="HXK25" s="41"/>
      <c r="HXV25" s="41"/>
      <c r="HYG25" s="41"/>
      <c r="HYR25" s="41"/>
      <c r="HZC25" s="41"/>
      <c r="HZN25" s="41"/>
      <c r="HZY25" s="41"/>
      <c r="IAJ25" s="41"/>
      <c r="IAU25" s="41"/>
      <c r="IBF25" s="41"/>
      <c r="IBQ25" s="41"/>
      <c r="ICB25" s="41"/>
      <c r="ICM25" s="41"/>
      <c r="ICX25" s="41"/>
      <c r="IDI25" s="41"/>
      <c r="IDT25" s="41"/>
      <c r="IEE25" s="41"/>
      <c r="IEP25" s="41"/>
      <c r="IFA25" s="41"/>
      <c r="IFL25" s="41"/>
      <c r="IFW25" s="41"/>
      <c r="IGH25" s="41"/>
      <c r="IGS25" s="41"/>
      <c r="IHD25" s="41"/>
      <c r="IHO25" s="41"/>
      <c r="IHZ25" s="41"/>
      <c r="IIK25" s="41"/>
      <c r="IIV25" s="41"/>
      <c r="IJG25" s="41"/>
      <c r="IJR25" s="41"/>
      <c r="IKC25" s="41"/>
      <c r="IKN25" s="41"/>
      <c r="IKY25" s="41"/>
      <c r="ILJ25" s="41"/>
      <c r="ILU25" s="41"/>
      <c r="IMF25" s="41"/>
      <c r="IMQ25" s="41"/>
      <c r="INB25" s="41"/>
      <c r="INM25" s="41"/>
      <c r="INX25" s="41"/>
      <c r="IOI25" s="41"/>
      <c r="IOT25" s="41"/>
      <c r="IPE25" s="41"/>
      <c r="IPP25" s="41"/>
      <c r="IQA25" s="41"/>
      <c r="IQL25" s="41"/>
      <c r="IQW25" s="41"/>
      <c r="IRH25" s="41"/>
      <c r="IRS25" s="41"/>
      <c r="ISD25" s="41"/>
      <c r="ISO25" s="41"/>
      <c r="ISZ25" s="41"/>
      <c r="ITK25" s="41"/>
      <c r="ITV25" s="41"/>
      <c r="IUG25" s="41"/>
      <c r="IUR25" s="41"/>
      <c r="IVC25" s="41"/>
      <c r="IVN25" s="41"/>
      <c r="IVY25" s="41"/>
      <c r="IWJ25" s="41"/>
      <c r="IWU25" s="41"/>
      <c r="IXF25" s="41"/>
      <c r="IXQ25" s="41"/>
      <c r="IYB25" s="41"/>
      <c r="IYM25" s="41"/>
      <c r="IYX25" s="41"/>
      <c r="IZI25" s="41"/>
      <c r="IZT25" s="41"/>
      <c r="JAE25" s="41"/>
      <c r="JAP25" s="41"/>
      <c r="JBA25" s="41"/>
      <c r="JBL25" s="41"/>
      <c r="JBW25" s="41"/>
      <c r="JCH25" s="41"/>
      <c r="JCS25" s="41"/>
      <c r="JDD25" s="41"/>
      <c r="JDO25" s="41"/>
      <c r="JDZ25" s="41"/>
      <c r="JEK25" s="41"/>
      <c r="JEV25" s="41"/>
      <c r="JFG25" s="41"/>
      <c r="JFR25" s="41"/>
      <c r="JGC25" s="41"/>
      <c r="JGN25" s="41"/>
      <c r="JGY25" s="41"/>
      <c r="JHJ25" s="41"/>
      <c r="JHU25" s="41"/>
      <c r="JIF25" s="41"/>
      <c r="JIQ25" s="41"/>
      <c r="JJB25" s="41"/>
      <c r="JJM25" s="41"/>
      <c r="JJX25" s="41"/>
      <c r="JKI25" s="41"/>
      <c r="JKT25" s="41"/>
      <c r="JLE25" s="41"/>
      <c r="JLP25" s="41"/>
      <c r="JMA25" s="41"/>
      <c r="JML25" s="41"/>
      <c r="JMW25" s="41"/>
      <c r="JNH25" s="41"/>
      <c r="JNS25" s="41"/>
      <c r="JOD25" s="41"/>
      <c r="JOO25" s="41"/>
      <c r="JOZ25" s="41"/>
      <c r="JPK25" s="41"/>
      <c r="JPV25" s="41"/>
      <c r="JQG25" s="41"/>
      <c r="JQR25" s="41"/>
      <c r="JRC25" s="41"/>
      <c r="JRN25" s="41"/>
      <c r="JRY25" s="41"/>
      <c r="JSJ25" s="41"/>
      <c r="JSU25" s="41"/>
      <c r="JTF25" s="41"/>
      <c r="JTQ25" s="41"/>
      <c r="JUB25" s="41"/>
      <c r="JUM25" s="41"/>
      <c r="JUX25" s="41"/>
      <c r="JVI25" s="41"/>
      <c r="JVT25" s="41"/>
      <c r="JWE25" s="41"/>
      <c r="JWP25" s="41"/>
      <c r="JXA25" s="41"/>
      <c r="JXL25" s="41"/>
      <c r="JXW25" s="41"/>
      <c r="JYH25" s="41"/>
      <c r="JYS25" s="41"/>
      <c r="JZD25" s="41"/>
      <c r="JZO25" s="41"/>
      <c r="JZZ25" s="41"/>
      <c r="KAK25" s="41"/>
      <c r="KAV25" s="41"/>
      <c r="KBG25" s="41"/>
      <c r="KBR25" s="41"/>
      <c r="KCC25" s="41"/>
      <c r="KCN25" s="41"/>
      <c r="KCY25" s="41"/>
      <c r="KDJ25" s="41"/>
      <c r="KDU25" s="41"/>
      <c r="KEF25" s="41"/>
      <c r="KEQ25" s="41"/>
      <c r="KFB25" s="41"/>
      <c r="KFM25" s="41"/>
      <c r="KFX25" s="41"/>
      <c r="KGI25" s="41"/>
      <c r="KGT25" s="41"/>
      <c r="KHE25" s="41"/>
      <c r="KHP25" s="41"/>
      <c r="KIA25" s="41"/>
      <c r="KIL25" s="41"/>
      <c r="KIW25" s="41"/>
      <c r="KJH25" s="41"/>
      <c r="KJS25" s="41"/>
      <c r="KKD25" s="41"/>
      <c r="KKO25" s="41"/>
      <c r="KKZ25" s="41"/>
      <c r="KLK25" s="41"/>
      <c r="KLV25" s="41"/>
      <c r="KMG25" s="41"/>
      <c r="KMR25" s="41"/>
      <c r="KNC25" s="41"/>
      <c r="KNN25" s="41"/>
      <c r="KNY25" s="41"/>
      <c r="KOJ25" s="41"/>
      <c r="KOU25" s="41"/>
      <c r="KPF25" s="41"/>
      <c r="KPQ25" s="41"/>
      <c r="KQB25" s="41"/>
      <c r="KQM25" s="41"/>
      <c r="KQX25" s="41"/>
      <c r="KRI25" s="41"/>
      <c r="KRT25" s="41"/>
      <c r="KSE25" s="41"/>
      <c r="KSP25" s="41"/>
      <c r="KTA25" s="41"/>
      <c r="KTL25" s="41"/>
      <c r="KTW25" s="41"/>
      <c r="KUH25" s="41"/>
      <c r="KUS25" s="41"/>
      <c r="KVD25" s="41"/>
      <c r="KVO25" s="41"/>
      <c r="KVZ25" s="41"/>
      <c r="KWK25" s="41"/>
      <c r="KWV25" s="41"/>
      <c r="KXG25" s="41"/>
      <c r="KXR25" s="41"/>
      <c r="KYC25" s="41"/>
      <c r="KYN25" s="41"/>
      <c r="KYY25" s="41"/>
      <c r="KZJ25" s="41"/>
      <c r="KZU25" s="41"/>
      <c r="LAF25" s="41"/>
      <c r="LAQ25" s="41"/>
      <c r="LBB25" s="41"/>
      <c r="LBM25" s="41"/>
      <c r="LBX25" s="41"/>
      <c r="LCI25" s="41"/>
      <c r="LCT25" s="41"/>
      <c r="LDE25" s="41"/>
      <c r="LDP25" s="41"/>
      <c r="LEA25" s="41"/>
      <c r="LEL25" s="41"/>
      <c r="LEW25" s="41"/>
      <c r="LFH25" s="41"/>
      <c r="LFS25" s="41"/>
      <c r="LGD25" s="41"/>
      <c r="LGO25" s="41"/>
      <c r="LGZ25" s="41"/>
      <c r="LHK25" s="41"/>
      <c r="LHV25" s="41"/>
      <c r="LIG25" s="41"/>
      <c r="LIR25" s="41"/>
      <c r="LJC25" s="41"/>
      <c r="LJN25" s="41"/>
      <c r="LJY25" s="41"/>
      <c r="LKJ25" s="41"/>
      <c r="LKU25" s="41"/>
      <c r="LLF25" s="41"/>
      <c r="LLQ25" s="41"/>
      <c r="LMB25" s="41"/>
      <c r="LMM25" s="41"/>
      <c r="LMX25" s="41"/>
      <c r="LNI25" s="41"/>
      <c r="LNT25" s="41"/>
      <c r="LOE25" s="41"/>
      <c r="LOP25" s="41"/>
      <c r="LPA25" s="41"/>
      <c r="LPL25" s="41"/>
      <c r="LPW25" s="41"/>
      <c r="LQH25" s="41"/>
      <c r="LQS25" s="41"/>
      <c r="LRD25" s="41"/>
      <c r="LRO25" s="41"/>
      <c r="LRZ25" s="41"/>
      <c r="LSK25" s="41"/>
      <c r="LSV25" s="41"/>
      <c r="LTG25" s="41"/>
      <c r="LTR25" s="41"/>
      <c r="LUC25" s="41"/>
      <c r="LUN25" s="41"/>
      <c r="LUY25" s="41"/>
      <c r="LVJ25" s="41"/>
      <c r="LVU25" s="41"/>
      <c r="LWF25" s="41"/>
      <c r="LWQ25" s="41"/>
      <c r="LXB25" s="41"/>
      <c r="LXM25" s="41"/>
      <c r="LXX25" s="41"/>
      <c r="LYI25" s="41"/>
      <c r="LYT25" s="41"/>
      <c r="LZE25" s="41"/>
      <c r="LZP25" s="41"/>
      <c r="MAA25" s="41"/>
      <c r="MAL25" s="41"/>
      <c r="MAW25" s="41"/>
      <c r="MBH25" s="41"/>
      <c r="MBS25" s="41"/>
      <c r="MCD25" s="41"/>
      <c r="MCO25" s="41"/>
      <c r="MCZ25" s="41"/>
      <c r="MDK25" s="41"/>
      <c r="MDV25" s="41"/>
      <c r="MEG25" s="41"/>
      <c r="MER25" s="41"/>
      <c r="MFC25" s="41"/>
      <c r="MFN25" s="41"/>
      <c r="MFY25" s="41"/>
      <c r="MGJ25" s="41"/>
      <c r="MGU25" s="41"/>
      <c r="MHF25" s="41"/>
      <c r="MHQ25" s="41"/>
      <c r="MIB25" s="41"/>
      <c r="MIM25" s="41"/>
      <c r="MIX25" s="41"/>
      <c r="MJI25" s="41"/>
      <c r="MJT25" s="41"/>
      <c r="MKE25" s="41"/>
      <c r="MKP25" s="41"/>
      <c r="MLA25" s="41"/>
      <c r="MLL25" s="41"/>
      <c r="MLW25" s="41"/>
      <c r="MMH25" s="41"/>
      <c r="MMS25" s="41"/>
      <c r="MND25" s="41"/>
      <c r="MNO25" s="41"/>
      <c r="MNZ25" s="41"/>
      <c r="MOK25" s="41"/>
      <c r="MOV25" s="41"/>
      <c r="MPG25" s="41"/>
      <c r="MPR25" s="41"/>
      <c r="MQC25" s="41"/>
      <c r="MQN25" s="41"/>
      <c r="MQY25" s="41"/>
      <c r="MRJ25" s="41"/>
      <c r="MRU25" s="41"/>
      <c r="MSF25" s="41"/>
      <c r="MSQ25" s="41"/>
      <c r="MTB25" s="41"/>
      <c r="MTM25" s="41"/>
      <c r="MTX25" s="41"/>
      <c r="MUI25" s="41"/>
      <c r="MUT25" s="41"/>
      <c r="MVE25" s="41"/>
      <c r="MVP25" s="41"/>
      <c r="MWA25" s="41"/>
      <c r="MWL25" s="41"/>
      <c r="MWW25" s="41"/>
      <c r="MXH25" s="41"/>
      <c r="MXS25" s="41"/>
      <c r="MYD25" s="41"/>
      <c r="MYO25" s="41"/>
      <c r="MYZ25" s="41"/>
      <c r="MZK25" s="41"/>
      <c r="MZV25" s="41"/>
      <c r="NAG25" s="41"/>
      <c r="NAR25" s="41"/>
      <c r="NBC25" s="41"/>
      <c r="NBN25" s="41"/>
      <c r="NBY25" s="41"/>
      <c r="NCJ25" s="41"/>
      <c r="NCU25" s="41"/>
      <c r="NDF25" s="41"/>
      <c r="NDQ25" s="41"/>
      <c r="NEB25" s="41"/>
      <c r="NEM25" s="41"/>
      <c r="NEX25" s="41"/>
      <c r="NFI25" s="41"/>
      <c r="NFT25" s="41"/>
      <c r="NGE25" s="41"/>
      <c r="NGP25" s="41"/>
      <c r="NHA25" s="41"/>
      <c r="NHL25" s="41"/>
      <c r="NHW25" s="41"/>
      <c r="NIH25" s="41"/>
      <c r="NIS25" s="41"/>
      <c r="NJD25" s="41"/>
      <c r="NJO25" s="41"/>
      <c r="NJZ25" s="41"/>
      <c r="NKK25" s="41"/>
      <c r="NKV25" s="41"/>
      <c r="NLG25" s="41"/>
      <c r="NLR25" s="41"/>
      <c r="NMC25" s="41"/>
      <c r="NMN25" s="41"/>
      <c r="NMY25" s="41"/>
      <c r="NNJ25" s="41"/>
      <c r="NNU25" s="41"/>
      <c r="NOF25" s="41"/>
      <c r="NOQ25" s="41"/>
      <c r="NPB25" s="41"/>
      <c r="NPM25" s="41"/>
      <c r="NPX25" s="41"/>
      <c r="NQI25" s="41"/>
      <c r="NQT25" s="41"/>
      <c r="NRE25" s="41"/>
      <c r="NRP25" s="41"/>
      <c r="NSA25" s="41"/>
      <c r="NSL25" s="41"/>
      <c r="NSW25" s="41"/>
      <c r="NTH25" s="41"/>
      <c r="NTS25" s="41"/>
      <c r="NUD25" s="41"/>
      <c r="NUO25" s="41"/>
      <c r="NUZ25" s="41"/>
      <c r="NVK25" s="41"/>
      <c r="NVV25" s="41"/>
      <c r="NWG25" s="41"/>
      <c r="NWR25" s="41"/>
      <c r="NXC25" s="41"/>
      <c r="NXN25" s="41"/>
      <c r="NXY25" s="41"/>
      <c r="NYJ25" s="41"/>
      <c r="NYU25" s="41"/>
      <c r="NZF25" s="41"/>
      <c r="NZQ25" s="41"/>
      <c r="OAB25" s="41"/>
      <c r="OAM25" s="41"/>
      <c r="OAX25" s="41"/>
      <c r="OBI25" s="41"/>
      <c r="OBT25" s="41"/>
      <c r="OCE25" s="41"/>
      <c r="OCP25" s="41"/>
      <c r="ODA25" s="41"/>
      <c r="ODL25" s="41"/>
      <c r="ODW25" s="41"/>
      <c r="OEH25" s="41"/>
      <c r="OES25" s="41"/>
      <c r="OFD25" s="41"/>
      <c r="OFO25" s="41"/>
      <c r="OFZ25" s="41"/>
      <c r="OGK25" s="41"/>
      <c r="OGV25" s="41"/>
      <c r="OHG25" s="41"/>
      <c r="OHR25" s="41"/>
      <c r="OIC25" s="41"/>
      <c r="OIN25" s="41"/>
      <c r="OIY25" s="41"/>
      <c r="OJJ25" s="41"/>
      <c r="OJU25" s="41"/>
      <c r="OKF25" s="41"/>
      <c r="OKQ25" s="41"/>
      <c r="OLB25" s="41"/>
      <c r="OLM25" s="41"/>
      <c r="OLX25" s="41"/>
      <c r="OMI25" s="41"/>
      <c r="OMT25" s="41"/>
      <c r="ONE25" s="41"/>
      <c r="ONP25" s="41"/>
      <c r="OOA25" s="41"/>
      <c r="OOL25" s="41"/>
      <c r="OOW25" s="41"/>
      <c r="OPH25" s="41"/>
      <c r="OPS25" s="41"/>
      <c r="OQD25" s="41"/>
      <c r="OQO25" s="41"/>
      <c r="OQZ25" s="41"/>
      <c r="ORK25" s="41"/>
      <c r="ORV25" s="41"/>
      <c r="OSG25" s="41"/>
      <c r="OSR25" s="41"/>
      <c r="OTC25" s="41"/>
      <c r="OTN25" s="41"/>
      <c r="OTY25" s="41"/>
      <c r="OUJ25" s="41"/>
      <c r="OUU25" s="41"/>
      <c r="OVF25" s="41"/>
      <c r="OVQ25" s="41"/>
      <c r="OWB25" s="41"/>
      <c r="OWM25" s="41"/>
      <c r="OWX25" s="41"/>
      <c r="OXI25" s="41"/>
      <c r="OXT25" s="41"/>
      <c r="OYE25" s="41"/>
      <c r="OYP25" s="41"/>
      <c r="OZA25" s="41"/>
      <c r="OZL25" s="41"/>
      <c r="OZW25" s="41"/>
      <c r="PAH25" s="41"/>
      <c r="PAS25" s="41"/>
      <c r="PBD25" s="41"/>
      <c r="PBO25" s="41"/>
      <c r="PBZ25" s="41"/>
      <c r="PCK25" s="41"/>
      <c r="PCV25" s="41"/>
      <c r="PDG25" s="41"/>
      <c r="PDR25" s="41"/>
      <c r="PEC25" s="41"/>
      <c r="PEN25" s="41"/>
      <c r="PEY25" s="41"/>
      <c r="PFJ25" s="41"/>
      <c r="PFU25" s="41"/>
      <c r="PGF25" s="41"/>
      <c r="PGQ25" s="41"/>
      <c r="PHB25" s="41"/>
      <c r="PHM25" s="41"/>
      <c r="PHX25" s="41"/>
      <c r="PII25" s="41"/>
      <c r="PIT25" s="41"/>
      <c r="PJE25" s="41"/>
      <c r="PJP25" s="41"/>
      <c r="PKA25" s="41"/>
      <c r="PKL25" s="41"/>
      <c r="PKW25" s="41"/>
      <c r="PLH25" s="41"/>
      <c r="PLS25" s="41"/>
      <c r="PMD25" s="41"/>
      <c r="PMO25" s="41"/>
      <c r="PMZ25" s="41"/>
      <c r="PNK25" s="41"/>
      <c r="PNV25" s="41"/>
      <c r="POG25" s="41"/>
      <c r="POR25" s="41"/>
      <c r="PPC25" s="41"/>
      <c r="PPN25" s="41"/>
      <c r="PPY25" s="41"/>
      <c r="PQJ25" s="41"/>
      <c r="PQU25" s="41"/>
      <c r="PRF25" s="41"/>
      <c r="PRQ25" s="41"/>
      <c r="PSB25" s="41"/>
      <c r="PSM25" s="41"/>
      <c r="PSX25" s="41"/>
      <c r="PTI25" s="41"/>
      <c r="PTT25" s="41"/>
      <c r="PUE25" s="41"/>
      <c r="PUP25" s="41"/>
      <c r="PVA25" s="41"/>
      <c r="PVL25" s="41"/>
      <c r="PVW25" s="41"/>
      <c r="PWH25" s="41"/>
      <c r="PWS25" s="41"/>
      <c r="PXD25" s="41"/>
      <c r="PXO25" s="41"/>
      <c r="PXZ25" s="41"/>
      <c r="PYK25" s="41"/>
      <c r="PYV25" s="41"/>
      <c r="PZG25" s="41"/>
      <c r="PZR25" s="41"/>
      <c r="QAC25" s="41"/>
      <c r="QAN25" s="41"/>
      <c r="QAY25" s="41"/>
      <c r="QBJ25" s="41"/>
      <c r="QBU25" s="41"/>
      <c r="QCF25" s="41"/>
      <c r="QCQ25" s="41"/>
      <c r="QDB25" s="41"/>
      <c r="QDM25" s="41"/>
      <c r="QDX25" s="41"/>
      <c r="QEI25" s="41"/>
      <c r="QET25" s="41"/>
      <c r="QFE25" s="41"/>
      <c r="QFP25" s="41"/>
      <c r="QGA25" s="41"/>
      <c r="QGL25" s="41"/>
      <c r="QGW25" s="41"/>
      <c r="QHH25" s="41"/>
      <c r="QHS25" s="41"/>
      <c r="QID25" s="41"/>
      <c r="QIO25" s="41"/>
      <c r="QIZ25" s="41"/>
      <c r="QJK25" s="41"/>
      <c r="QJV25" s="41"/>
      <c r="QKG25" s="41"/>
      <c r="QKR25" s="41"/>
      <c r="QLC25" s="41"/>
      <c r="QLN25" s="41"/>
      <c r="QLY25" s="41"/>
      <c r="QMJ25" s="41"/>
      <c r="QMU25" s="41"/>
      <c r="QNF25" s="41"/>
      <c r="QNQ25" s="41"/>
      <c r="QOB25" s="41"/>
      <c r="QOM25" s="41"/>
      <c r="QOX25" s="41"/>
      <c r="QPI25" s="41"/>
      <c r="QPT25" s="41"/>
      <c r="QQE25" s="41"/>
      <c r="QQP25" s="41"/>
      <c r="QRA25" s="41"/>
      <c r="QRL25" s="41"/>
      <c r="QRW25" s="41"/>
      <c r="QSH25" s="41"/>
      <c r="QSS25" s="41"/>
      <c r="QTD25" s="41"/>
      <c r="QTO25" s="41"/>
      <c r="QTZ25" s="41"/>
      <c r="QUK25" s="41"/>
      <c r="QUV25" s="41"/>
      <c r="QVG25" s="41"/>
      <c r="QVR25" s="41"/>
      <c r="QWC25" s="41"/>
      <c r="QWN25" s="41"/>
      <c r="QWY25" s="41"/>
      <c r="QXJ25" s="41"/>
      <c r="QXU25" s="41"/>
      <c r="QYF25" s="41"/>
      <c r="QYQ25" s="41"/>
      <c r="QZB25" s="41"/>
      <c r="QZM25" s="41"/>
      <c r="QZX25" s="41"/>
      <c r="RAI25" s="41"/>
      <c r="RAT25" s="41"/>
      <c r="RBE25" s="41"/>
      <c r="RBP25" s="41"/>
      <c r="RCA25" s="41"/>
      <c r="RCL25" s="41"/>
      <c r="RCW25" s="41"/>
      <c r="RDH25" s="41"/>
      <c r="RDS25" s="41"/>
      <c r="RED25" s="41"/>
      <c r="REO25" s="41"/>
      <c r="REZ25" s="41"/>
      <c r="RFK25" s="41"/>
      <c r="RFV25" s="41"/>
      <c r="RGG25" s="41"/>
      <c r="RGR25" s="41"/>
      <c r="RHC25" s="41"/>
      <c r="RHN25" s="41"/>
      <c r="RHY25" s="41"/>
      <c r="RIJ25" s="41"/>
      <c r="RIU25" s="41"/>
      <c r="RJF25" s="41"/>
      <c r="RJQ25" s="41"/>
      <c r="RKB25" s="41"/>
      <c r="RKM25" s="41"/>
      <c r="RKX25" s="41"/>
      <c r="RLI25" s="41"/>
      <c r="RLT25" s="41"/>
      <c r="RME25" s="41"/>
      <c r="RMP25" s="41"/>
      <c r="RNA25" s="41"/>
      <c r="RNL25" s="41"/>
      <c r="RNW25" s="41"/>
      <c r="ROH25" s="41"/>
      <c r="ROS25" s="41"/>
      <c r="RPD25" s="41"/>
      <c r="RPO25" s="41"/>
      <c r="RPZ25" s="41"/>
      <c r="RQK25" s="41"/>
      <c r="RQV25" s="41"/>
      <c r="RRG25" s="41"/>
      <c r="RRR25" s="41"/>
      <c r="RSC25" s="41"/>
      <c r="RSN25" s="41"/>
      <c r="RSY25" s="41"/>
      <c r="RTJ25" s="41"/>
      <c r="RTU25" s="41"/>
      <c r="RUF25" s="41"/>
      <c r="RUQ25" s="41"/>
      <c r="RVB25" s="41"/>
      <c r="RVM25" s="41"/>
      <c r="RVX25" s="41"/>
      <c r="RWI25" s="41"/>
      <c r="RWT25" s="41"/>
      <c r="RXE25" s="41"/>
      <c r="RXP25" s="41"/>
      <c r="RYA25" s="41"/>
      <c r="RYL25" s="41"/>
      <c r="RYW25" s="41"/>
      <c r="RZH25" s="41"/>
      <c r="RZS25" s="41"/>
      <c r="SAD25" s="41"/>
      <c r="SAO25" s="41"/>
      <c r="SAZ25" s="41"/>
      <c r="SBK25" s="41"/>
      <c r="SBV25" s="41"/>
      <c r="SCG25" s="41"/>
      <c r="SCR25" s="41"/>
      <c r="SDC25" s="41"/>
      <c r="SDN25" s="41"/>
      <c r="SDY25" s="41"/>
      <c r="SEJ25" s="41"/>
      <c r="SEU25" s="41"/>
      <c r="SFF25" s="41"/>
      <c r="SFQ25" s="41"/>
      <c r="SGB25" s="41"/>
      <c r="SGM25" s="41"/>
      <c r="SGX25" s="41"/>
      <c r="SHI25" s="41"/>
      <c r="SHT25" s="41"/>
      <c r="SIE25" s="41"/>
      <c r="SIP25" s="41"/>
      <c r="SJA25" s="41"/>
      <c r="SJL25" s="41"/>
      <c r="SJW25" s="41"/>
      <c r="SKH25" s="41"/>
      <c r="SKS25" s="41"/>
      <c r="SLD25" s="41"/>
      <c r="SLO25" s="41"/>
      <c r="SLZ25" s="41"/>
      <c r="SMK25" s="41"/>
      <c r="SMV25" s="41"/>
      <c r="SNG25" s="41"/>
      <c r="SNR25" s="41"/>
      <c r="SOC25" s="41"/>
      <c r="SON25" s="41"/>
      <c r="SOY25" s="41"/>
      <c r="SPJ25" s="41"/>
      <c r="SPU25" s="41"/>
      <c r="SQF25" s="41"/>
      <c r="SQQ25" s="41"/>
      <c r="SRB25" s="41"/>
      <c r="SRM25" s="41"/>
      <c r="SRX25" s="41"/>
      <c r="SSI25" s="41"/>
      <c r="SST25" s="41"/>
      <c r="STE25" s="41"/>
      <c r="STP25" s="41"/>
      <c r="SUA25" s="41"/>
      <c r="SUL25" s="41"/>
      <c r="SUW25" s="41"/>
      <c r="SVH25" s="41"/>
      <c r="SVS25" s="41"/>
      <c r="SWD25" s="41"/>
      <c r="SWO25" s="41"/>
      <c r="SWZ25" s="41"/>
      <c r="SXK25" s="41"/>
      <c r="SXV25" s="41"/>
      <c r="SYG25" s="41"/>
      <c r="SYR25" s="41"/>
      <c r="SZC25" s="41"/>
      <c r="SZN25" s="41"/>
      <c r="SZY25" s="41"/>
      <c r="TAJ25" s="41"/>
      <c r="TAU25" s="41"/>
      <c r="TBF25" s="41"/>
      <c r="TBQ25" s="41"/>
      <c r="TCB25" s="41"/>
      <c r="TCM25" s="41"/>
      <c r="TCX25" s="41"/>
      <c r="TDI25" s="41"/>
      <c r="TDT25" s="41"/>
      <c r="TEE25" s="41"/>
      <c r="TEP25" s="41"/>
      <c r="TFA25" s="41"/>
      <c r="TFL25" s="41"/>
      <c r="TFW25" s="41"/>
      <c r="TGH25" s="41"/>
      <c r="TGS25" s="41"/>
      <c r="THD25" s="41"/>
      <c r="THO25" s="41"/>
      <c r="THZ25" s="41"/>
      <c r="TIK25" s="41"/>
      <c r="TIV25" s="41"/>
      <c r="TJG25" s="41"/>
      <c r="TJR25" s="41"/>
      <c r="TKC25" s="41"/>
      <c r="TKN25" s="41"/>
      <c r="TKY25" s="41"/>
      <c r="TLJ25" s="41"/>
      <c r="TLU25" s="41"/>
      <c r="TMF25" s="41"/>
      <c r="TMQ25" s="41"/>
      <c r="TNB25" s="41"/>
      <c r="TNM25" s="41"/>
      <c r="TNX25" s="41"/>
      <c r="TOI25" s="41"/>
      <c r="TOT25" s="41"/>
      <c r="TPE25" s="41"/>
      <c r="TPP25" s="41"/>
      <c r="TQA25" s="41"/>
      <c r="TQL25" s="41"/>
      <c r="TQW25" s="41"/>
      <c r="TRH25" s="41"/>
      <c r="TRS25" s="41"/>
      <c r="TSD25" s="41"/>
      <c r="TSO25" s="41"/>
      <c r="TSZ25" s="41"/>
      <c r="TTK25" s="41"/>
      <c r="TTV25" s="41"/>
      <c r="TUG25" s="41"/>
      <c r="TUR25" s="41"/>
      <c r="TVC25" s="41"/>
      <c r="TVN25" s="41"/>
      <c r="TVY25" s="41"/>
      <c r="TWJ25" s="41"/>
      <c r="TWU25" s="41"/>
      <c r="TXF25" s="41"/>
      <c r="TXQ25" s="41"/>
      <c r="TYB25" s="41"/>
      <c r="TYM25" s="41"/>
      <c r="TYX25" s="41"/>
      <c r="TZI25" s="41"/>
      <c r="TZT25" s="41"/>
      <c r="UAE25" s="41"/>
      <c r="UAP25" s="41"/>
      <c r="UBA25" s="41"/>
      <c r="UBL25" s="41"/>
      <c r="UBW25" s="41"/>
      <c r="UCH25" s="41"/>
      <c r="UCS25" s="41"/>
      <c r="UDD25" s="41"/>
      <c r="UDO25" s="41"/>
      <c r="UDZ25" s="41"/>
      <c r="UEK25" s="41"/>
      <c r="UEV25" s="41"/>
      <c r="UFG25" s="41"/>
      <c r="UFR25" s="41"/>
      <c r="UGC25" s="41"/>
      <c r="UGN25" s="41"/>
      <c r="UGY25" s="41"/>
      <c r="UHJ25" s="41"/>
      <c r="UHU25" s="41"/>
      <c r="UIF25" s="41"/>
      <c r="UIQ25" s="41"/>
      <c r="UJB25" s="41"/>
      <c r="UJM25" s="41"/>
      <c r="UJX25" s="41"/>
      <c r="UKI25" s="41"/>
      <c r="UKT25" s="41"/>
      <c r="ULE25" s="41"/>
      <c r="ULP25" s="41"/>
      <c r="UMA25" s="41"/>
      <c r="UML25" s="41"/>
      <c r="UMW25" s="41"/>
      <c r="UNH25" s="41"/>
      <c r="UNS25" s="41"/>
      <c r="UOD25" s="41"/>
      <c r="UOO25" s="41"/>
      <c r="UOZ25" s="41"/>
      <c r="UPK25" s="41"/>
      <c r="UPV25" s="41"/>
      <c r="UQG25" s="41"/>
      <c r="UQR25" s="41"/>
      <c r="URC25" s="41"/>
      <c r="URN25" s="41"/>
      <c r="URY25" s="41"/>
      <c r="USJ25" s="41"/>
      <c r="USU25" s="41"/>
      <c r="UTF25" s="41"/>
      <c r="UTQ25" s="41"/>
      <c r="UUB25" s="41"/>
      <c r="UUM25" s="41"/>
      <c r="UUX25" s="41"/>
      <c r="UVI25" s="41"/>
      <c r="UVT25" s="41"/>
      <c r="UWE25" s="41"/>
      <c r="UWP25" s="41"/>
      <c r="UXA25" s="41"/>
      <c r="UXL25" s="41"/>
      <c r="UXW25" s="41"/>
      <c r="UYH25" s="41"/>
      <c r="UYS25" s="41"/>
      <c r="UZD25" s="41"/>
      <c r="UZO25" s="41"/>
      <c r="UZZ25" s="41"/>
      <c r="VAK25" s="41"/>
      <c r="VAV25" s="41"/>
      <c r="VBG25" s="41"/>
      <c r="VBR25" s="41"/>
      <c r="VCC25" s="41"/>
      <c r="VCN25" s="41"/>
      <c r="VCY25" s="41"/>
      <c r="VDJ25" s="41"/>
      <c r="VDU25" s="41"/>
      <c r="VEF25" s="41"/>
      <c r="VEQ25" s="41"/>
      <c r="VFB25" s="41"/>
      <c r="VFM25" s="41"/>
      <c r="VFX25" s="41"/>
      <c r="VGI25" s="41"/>
      <c r="VGT25" s="41"/>
      <c r="VHE25" s="41"/>
      <c r="VHP25" s="41"/>
      <c r="VIA25" s="41"/>
      <c r="VIL25" s="41"/>
      <c r="VIW25" s="41"/>
      <c r="VJH25" s="41"/>
      <c r="VJS25" s="41"/>
      <c r="VKD25" s="41"/>
      <c r="VKO25" s="41"/>
      <c r="VKZ25" s="41"/>
      <c r="VLK25" s="41"/>
      <c r="VLV25" s="41"/>
      <c r="VMG25" s="41"/>
      <c r="VMR25" s="41"/>
      <c r="VNC25" s="41"/>
      <c r="VNN25" s="41"/>
      <c r="VNY25" s="41"/>
      <c r="VOJ25" s="41"/>
      <c r="VOU25" s="41"/>
      <c r="VPF25" s="41"/>
      <c r="VPQ25" s="41"/>
      <c r="VQB25" s="41"/>
      <c r="VQM25" s="41"/>
      <c r="VQX25" s="41"/>
      <c r="VRI25" s="41"/>
      <c r="VRT25" s="41"/>
      <c r="VSE25" s="41"/>
      <c r="VSP25" s="41"/>
      <c r="VTA25" s="41"/>
      <c r="VTL25" s="41"/>
      <c r="VTW25" s="41"/>
      <c r="VUH25" s="41"/>
      <c r="VUS25" s="41"/>
      <c r="VVD25" s="41"/>
      <c r="VVO25" s="41"/>
      <c r="VVZ25" s="41"/>
      <c r="VWK25" s="41"/>
      <c r="VWV25" s="41"/>
      <c r="VXG25" s="41"/>
      <c r="VXR25" s="41"/>
      <c r="VYC25" s="41"/>
      <c r="VYN25" s="41"/>
      <c r="VYY25" s="41"/>
      <c r="VZJ25" s="41"/>
      <c r="VZU25" s="41"/>
      <c r="WAF25" s="41"/>
      <c r="WAQ25" s="41"/>
      <c r="WBB25" s="41"/>
      <c r="WBM25" s="41"/>
      <c r="WBX25" s="41"/>
      <c r="WCI25" s="41"/>
      <c r="WCT25" s="41"/>
      <c r="WDE25" s="41"/>
      <c r="WDP25" s="41"/>
      <c r="WEA25" s="41"/>
      <c r="WEL25" s="41"/>
      <c r="WEW25" s="41"/>
      <c r="WFH25" s="41"/>
      <c r="WFS25" s="41"/>
      <c r="WGD25" s="41"/>
      <c r="WGO25" s="41"/>
      <c r="WGZ25" s="41"/>
      <c r="WHK25" s="41"/>
      <c r="WHV25" s="41"/>
      <c r="WIG25" s="41"/>
      <c r="WIR25" s="41"/>
      <c r="WJC25" s="41"/>
      <c r="WJN25" s="41"/>
      <c r="WJY25" s="41"/>
      <c r="WKJ25" s="41"/>
      <c r="WKU25" s="41"/>
      <c r="WLF25" s="41"/>
      <c r="WLQ25" s="41"/>
      <c r="WMB25" s="41"/>
      <c r="WMM25" s="41"/>
      <c r="WMX25" s="41"/>
      <c r="WNI25" s="41"/>
      <c r="WNT25" s="41"/>
      <c r="WOE25" s="41"/>
      <c r="WOP25" s="41"/>
      <c r="WPA25" s="41"/>
      <c r="WPL25" s="41"/>
      <c r="WPW25" s="41"/>
      <c r="WQH25" s="41"/>
      <c r="WQS25" s="41"/>
      <c r="WRD25" s="41"/>
      <c r="WRO25" s="41"/>
      <c r="WRZ25" s="41"/>
      <c r="WSK25" s="41"/>
      <c r="WSV25" s="41"/>
      <c r="WTG25" s="41"/>
      <c r="WTR25" s="41"/>
      <c r="WUC25" s="41"/>
      <c r="WUN25" s="41"/>
      <c r="WUY25" s="41"/>
      <c r="WVJ25" s="41"/>
      <c r="WVU25" s="41"/>
      <c r="WWF25" s="41"/>
      <c r="WWQ25" s="41"/>
      <c r="WXB25" s="41"/>
      <c r="WXM25" s="41"/>
      <c r="WXX25" s="41"/>
      <c r="WYI25" s="41"/>
      <c r="WYT25" s="41"/>
      <c r="WZE25" s="41"/>
      <c r="WZP25" s="41"/>
      <c r="XAA25" s="41"/>
      <c r="XAL25" s="41"/>
      <c r="XAW25" s="41"/>
      <c r="XBH25" s="41"/>
      <c r="XBS25" s="41"/>
      <c r="XCD25" s="41"/>
      <c r="XCO25" s="41"/>
      <c r="XCZ25" s="41"/>
      <c r="XDK25" s="41"/>
      <c r="XDV25" s="41"/>
      <c r="XEG25" s="41"/>
      <c r="XER25" s="41"/>
      <c r="XFC25" s="41"/>
    </row>
    <row r="26" spans="1:1016 1027:2039 2050:3062 3073:4096 4107:5119 5130:6142 6153:7165 7176:8188 8199:9211 9222:10234 10245:11257 11268:12280 12291:13303 13314:14326 14337:15360 15371:16383" s="40" customFormat="1" ht="13.8" customHeight="1">
      <c r="D26" s="202"/>
      <c r="E26" s="202"/>
      <c r="F26" s="202"/>
      <c r="G26" s="202"/>
      <c r="H26" s="206"/>
      <c r="I26" s="42"/>
      <c r="P26" s="221"/>
      <c r="Q26" s="221"/>
      <c r="R26" s="221"/>
      <c r="S26" s="221"/>
      <c r="T26" s="221"/>
      <c r="U26" s="204"/>
      <c r="V26" s="204"/>
      <c r="W26" s="204"/>
      <c r="X26" s="204"/>
      <c r="Y26" s="204"/>
      <c r="Z26" s="204"/>
      <c r="AK26" s="41"/>
      <c r="AV26" s="41"/>
      <c r="BG26" s="41"/>
      <c r="BR26" s="41"/>
      <c r="CC26" s="41"/>
      <c r="CN26" s="41"/>
      <c r="CY26" s="41"/>
      <c r="DJ26" s="41"/>
      <c r="DU26" s="41"/>
      <c r="EF26" s="41"/>
      <c r="EQ26" s="41"/>
      <c r="FB26" s="41"/>
      <c r="FM26" s="41"/>
      <c r="FX26" s="41"/>
      <c r="GI26" s="41"/>
      <c r="GT26" s="41"/>
      <c r="HE26" s="41"/>
      <c r="HP26" s="41"/>
      <c r="IA26" s="41"/>
      <c r="IL26" s="41"/>
      <c r="IW26" s="41"/>
      <c r="JH26" s="41"/>
      <c r="JS26" s="41"/>
      <c r="KD26" s="41"/>
      <c r="KO26" s="41"/>
      <c r="KZ26" s="41"/>
      <c r="LK26" s="41"/>
      <c r="LV26" s="41"/>
      <c r="MG26" s="41"/>
      <c r="MR26" s="41"/>
      <c r="NC26" s="41"/>
      <c r="NN26" s="41"/>
      <c r="NY26" s="41"/>
      <c r="OJ26" s="41"/>
      <c r="OU26" s="41"/>
      <c r="PF26" s="41"/>
      <c r="PQ26" s="41"/>
      <c r="QB26" s="41"/>
      <c r="QM26" s="41"/>
      <c r="QX26" s="41"/>
      <c r="RI26" s="41"/>
      <c r="RT26" s="41"/>
      <c r="SE26" s="41"/>
      <c r="SP26" s="41"/>
      <c r="TA26" s="41"/>
      <c r="TL26" s="41"/>
      <c r="TW26" s="41"/>
      <c r="UH26" s="41"/>
      <c r="US26" s="41"/>
      <c r="VD26" s="41"/>
      <c r="VO26" s="41"/>
      <c r="VZ26" s="41"/>
      <c r="WK26" s="41"/>
      <c r="WV26" s="41"/>
      <c r="XG26" s="41"/>
      <c r="XR26" s="41"/>
      <c r="YC26" s="41"/>
      <c r="YN26" s="41"/>
      <c r="YY26" s="41"/>
      <c r="ZJ26" s="41"/>
      <c r="ZU26" s="41"/>
      <c r="AAF26" s="41"/>
      <c r="AAQ26" s="41"/>
      <c r="ABB26" s="41"/>
      <c r="ABM26" s="41"/>
      <c r="ABX26" s="41"/>
      <c r="ACI26" s="41"/>
      <c r="ACT26" s="41"/>
      <c r="ADE26" s="41"/>
      <c r="ADP26" s="41"/>
      <c r="AEA26" s="41"/>
      <c r="AEL26" s="41"/>
      <c r="AEW26" s="41"/>
      <c r="AFH26" s="41"/>
      <c r="AFS26" s="41"/>
      <c r="AGD26" s="41"/>
      <c r="AGO26" s="41"/>
      <c r="AGZ26" s="41"/>
      <c r="AHK26" s="41"/>
      <c r="AHV26" s="41"/>
      <c r="AIG26" s="41"/>
      <c r="AIR26" s="41"/>
      <c r="AJC26" s="41"/>
      <c r="AJN26" s="41"/>
      <c r="AJY26" s="41"/>
      <c r="AKJ26" s="41"/>
      <c r="AKU26" s="41"/>
      <c r="ALF26" s="41"/>
      <c r="ALQ26" s="41"/>
      <c r="AMB26" s="41"/>
      <c r="AMM26" s="41"/>
      <c r="AMX26" s="41"/>
      <c r="ANI26" s="41"/>
      <c r="ANT26" s="41"/>
      <c r="AOE26" s="41"/>
      <c r="AOP26" s="41"/>
      <c r="APA26" s="41"/>
      <c r="APL26" s="41"/>
      <c r="APW26" s="41"/>
      <c r="AQH26" s="41"/>
      <c r="AQS26" s="41"/>
      <c r="ARD26" s="41"/>
      <c r="ARO26" s="41"/>
      <c r="ARZ26" s="41"/>
      <c r="ASK26" s="41"/>
      <c r="ASV26" s="41"/>
      <c r="ATG26" s="41"/>
      <c r="ATR26" s="41"/>
      <c r="AUC26" s="41"/>
      <c r="AUN26" s="41"/>
      <c r="AUY26" s="41"/>
      <c r="AVJ26" s="41"/>
      <c r="AVU26" s="41"/>
      <c r="AWF26" s="41"/>
      <c r="AWQ26" s="41"/>
      <c r="AXB26" s="41"/>
      <c r="AXM26" s="41"/>
      <c r="AXX26" s="41"/>
      <c r="AYI26" s="41"/>
      <c r="AYT26" s="41"/>
      <c r="AZE26" s="41"/>
      <c r="AZP26" s="41"/>
      <c r="BAA26" s="41"/>
      <c r="BAL26" s="41"/>
      <c r="BAW26" s="41"/>
      <c r="BBH26" s="41"/>
      <c r="BBS26" s="41"/>
      <c r="BCD26" s="41"/>
      <c r="BCO26" s="41"/>
      <c r="BCZ26" s="41"/>
      <c r="BDK26" s="41"/>
      <c r="BDV26" s="41"/>
      <c r="BEG26" s="41"/>
      <c r="BER26" s="41"/>
      <c r="BFC26" s="41"/>
      <c r="BFN26" s="41"/>
      <c r="BFY26" s="41"/>
      <c r="BGJ26" s="41"/>
      <c r="BGU26" s="41"/>
      <c r="BHF26" s="41"/>
      <c r="BHQ26" s="41"/>
      <c r="BIB26" s="41"/>
      <c r="BIM26" s="41"/>
      <c r="BIX26" s="41"/>
      <c r="BJI26" s="41"/>
      <c r="BJT26" s="41"/>
      <c r="BKE26" s="41"/>
      <c r="BKP26" s="41"/>
      <c r="BLA26" s="41"/>
      <c r="BLL26" s="41"/>
      <c r="BLW26" s="41"/>
      <c r="BMH26" s="41"/>
      <c r="BMS26" s="41"/>
      <c r="BND26" s="41"/>
      <c r="BNO26" s="41"/>
      <c r="BNZ26" s="41"/>
      <c r="BOK26" s="41"/>
      <c r="BOV26" s="41"/>
      <c r="BPG26" s="41"/>
      <c r="BPR26" s="41"/>
      <c r="BQC26" s="41"/>
      <c r="BQN26" s="41"/>
      <c r="BQY26" s="41"/>
      <c r="BRJ26" s="41"/>
      <c r="BRU26" s="41"/>
      <c r="BSF26" s="41"/>
      <c r="BSQ26" s="41"/>
      <c r="BTB26" s="41"/>
      <c r="BTM26" s="41"/>
      <c r="BTX26" s="41"/>
      <c r="BUI26" s="41"/>
      <c r="BUT26" s="41"/>
      <c r="BVE26" s="41"/>
      <c r="BVP26" s="41"/>
      <c r="BWA26" s="41"/>
      <c r="BWL26" s="41"/>
      <c r="BWW26" s="41"/>
      <c r="BXH26" s="41"/>
      <c r="BXS26" s="41"/>
      <c r="BYD26" s="41"/>
      <c r="BYO26" s="41"/>
      <c r="BYZ26" s="41"/>
      <c r="BZK26" s="41"/>
      <c r="BZV26" s="41"/>
      <c r="CAG26" s="41"/>
      <c r="CAR26" s="41"/>
      <c r="CBC26" s="41"/>
      <c r="CBN26" s="41"/>
      <c r="CBY26" s="41"/>
      <c r="CCJ26" s="41"/>
      <c r="CCU26" s="41"/>
      <c r="CDF26" s="41"/>
      <c r="CDQ26" s="41"/>
      <c r="CEB26" s="41"/>
      <c r="CEM26" s="41"/>
      <c r="CEX26" s="41"/>
      <c r="CFI26" s="41"/>
      <c r="CFT26" s="41"/>
      <c r="CGE26" s="41"/>
      <c r="CGP26" s="41"/>
      <c r="CHA26" s="41"/>
      <c r="CHL26" s="41"/>
      <c r="CHW26" s="41"/>
      <c r="CIH26" s="41"/>
      <c r="CIS26" s="41"/>
      <c r="CJD26" s="41"/>
      <c r="CJO26" s="41"/>
      <c r="CJZ26" s="41"/>
      <c r="CKK26" s="41"/>
      <c r="CKV26" s="41"/>
      <c r="CLG26" s="41"/>
      <c r="CLR26" s="41"/>
      <c r="CMC26" s="41"/>
      <c r="CMN26" s="41"/>
      <c r="CMY26" s="41"/>
      <c r="CNJ26" s="41"/>
      <c r="CNU26" s="41"/>
      <c r="COF26" s="41"/>
      <c r="COQ26" s="41"/>
      <c r="CPB26" s="41"/>
      <c r="CPM26" s="41"/>
      <c r="CPX26" s="41"/>
      <c r="CQI26" s="41"/>
      <c r="CQT26" s="41"/>
      <c r="CRE26" s="41"/>
      <c r="CRP26" s="41"/>
      <c r="CSA26" s="41"/>
      <c r="CSL26" s="41"/>
      <c r="CSW26" s="41"/>
      <c r="CTH26" s="41"/>
      <c r="CTS26" s="41"/>
      <c r="CUD26" s="41"/>
      <c r="CUO26" s="41"/>
      <c r="CUZ26" s="41"/>
      <c r="CVK26" s="41"/>
      <c r="CVV26" s="41"/>
      <c r="CWG26" s="41"/>
      <c r="CWR26" s="41"/>
      <c r="CXC26" s="41"/>
      <c r="CXN26" s="41"/>
      <c r="CXY26" s="41"/>
      <c r="CYJ26" s="41"/>
      <c r="CYU26" s="41"/>
      <c r="CZF26" s="41"/>
      <c r="CZQ26" s="41"/>
      <c r="DAB26" s="41"/>
      <c r="DAM26" s="41"/>
      <c r="DAX26" s="41"/>
      <c r="DBI26" s="41"/>
      <c r="DBT26" s="41"/>
      <c r="DCE26" s="41"/>
      <c r="DCP26" s="41"/>
      <c r="DDA26" s="41"/>
      <c r="DDL26" s="41"/>
      <c r="DDW26" s="41"/>
      <c r="DEH26" s="41"/>
      <c r="DES26" s="41"/>
      <c r="DFD26" s="41"/>
      <c r="DFO26" s="41"/>
      <c r="DFZ26" s="41"/>
      <c r="DGK26" s="41"/>
      <c r="DGV26" s="41"/>
      <c r="DHG26" s="41"/>
      <c r="DHR26" s="41"/>
      <c r="DIC26" s="41"/>
      <c r="DIN26" s="41"/>
      <c r="DIY26" s="41"/>
      <c r="DJJ26" s="41"/>
      <c r="DJU26" s="41"/>
      <c r="DKF26" s="41"/>
      <c r="DKQ26" s="41"/>
      <c r="DLB26" s="41"/>
      <c r="DLM26" s="41"/>
      <c r="DLX26" s="41"/>
      <c r="DMI26" s="41"/>
      <c r="DMT26" s="41"/>
      <c r="DNE26" s="41"/>
      <c r="DNP26" s="41"/>
      <c r="DOA26" s="41"/>
      <c r="DOL26" s="41"/>
      <c r="DOW26" s="41"/>
      <c r="DPH26" s="41"/>
      <c r="DPS26" s="41"/>
      <c r="DQD26" s="41"/>
      <c r="DQO26" s="41"/>
      <c r="DQZ26" s="41"/>
      <c r="DRK26" s="41"/>
      <c r="DRV26" s="41"/>
      <c r="DSG26" s="41"/>
      <c r="DSR26" s="41"/>
      <c r="DTC26" s="41"/>
      <c r="DTN26" s="41"/>
      <c r="DTY26" s="41"/>
      <c r="DUJ26" s="41"/>
      <c r="DUU26" s="41"/>
      <c r="DVF26" s="41"/>
      <c r="DVQ26" s="41"/>
      <c r="DWB26" s="41"/>
      <c r="DWM26" s="41"/>
      <c r="DWX26" s="41"/>
      <c r="DXI26" s="41"/>
      <c r="DXT26" s="41"/>
      <c r="DYE26" s="41"/>
      <c r="DYP26" s="41"/>
      <c r="DZA26" s="41"/>
      <c r="DZL26" s="41"/>
      <c r="DZW26" s="41"/>
      <c r="EAH26" s="41"/>
      <c r="EAS26" s="41"/>
      <c r="EBD26" s="41"/>
      <c r="EBO26" s="41"/>
      <c r="EBZ26" s="41"/>
      <c r="ECK26" s="41"/>
      <c r="ECV26" s="41"/>
      <c r="EDG26" s="41"/>
      <c r="EDR26" s="41"/>
      <c r="EEC26" s="41"/>
      <c r="EEN26" s="41"/>
      <c r="EEY26" s="41"/>
      <c r="EFJ26" s="41"/>
      <c r="EFU26" s="41"/>
      <c r="EGF26" s="41"/>
      <c r="EGQ26" s="41"/>
      <c r="EHB26" s="41"/>
      <c r="EHM26" s="41"/>
      <c r="EHX26" s="41"/>
      <c r="EII26" s="41"/>
      <c r="EIT26" s="41"/>
      <c r="EJE26" s="41"/>
      <c r="EJP26" s="41"/>
      <c r="EKA26" s="41"/>
      <c r="EKL26" s="41"/>
      <c r="EKW26" s="41"/>
      <c r="ELH26" s="41"/>
      <c r="ELS26" s="41"/>
      <c r="EMD26" s="41"/>
      <c r="EMO26" s="41"/>
      <c r="EMZ26" s="41"/>
      <c r="ENK26" s="41"/>
      <c r="ENV26" s="41"/>
      <c r="EOG26" s="41"/>
      <c r="EOR26" s="41"/>
      <c r="EPC26" s="41"/>
      <c r="EPN26" s="41"/>
      <c r="EPY26" s="41"/>
      <c r="EQJ26" s="41"/>
      <c r="EQU26" s="41"/>
      <c r="ERF26" s="41"/>
      <c r="ERQ26" s="41"/>
      <c r="ESB26" s="41"/>
      <c r="ESM26" s="41"/>
      <c r="ESX26" s="41"/>
      <c r="ETI26" s="41"/>
      <c r="ETT26" s="41"/>
      <c r="EUE26" s="41"/>
      <c r="EUP26" s="41"/>
      <c r="EVA26" s="41"/>
      <c r="EVL26" s="41"/>
      <c r="EVW26" s="41"/>
      <c r="EWH26" s="41"/>
      <c r="EWS26" s="41"/>
      <c r="EXD26" s="41"/>
      <c r="EXO26" s="41"/>
      <c r="EXZ26" s="41"/>
      <c r="EYK26" s="41"/>
      <c r="EYV26" s="41"/>
      <c r="EZG26" s="41"/>
      <c r="EZR26" s="41"/>
      <c r="FAC26" s="41"/>
      <c r="FAN26" s="41"/>
      <c r="FAY26" s="41"/>
      <c r="FBJ26" s="41"/>
      <c r="FBU26" s="41"/>
      <c r="FCF26" s="41"/>
      <c r="FCQ26" s="41"/>
      <c r="FDB26" s="41"/>
      <c r="FDM26" s="41"/>
      <c r="FDX26" s="41"/>
      <c r="FEI26" s="41"/>
      <c r="FET26" s="41"/>
      <c r="FFE26" s="41"/>
      <c r="FFP26" s="41"/>
      <c r="FGA26" s="41"/>
      <c r="FGL26" s="41"/>
      <c r="FGW26" s="41"/>
      <c r="FHH26" s="41"/>
      <c r="FHS26" s="41"/>
      <c r="FID26" s="41"/>
      <c r="FIO26" s="41"/>
      <c r="FIZ26" s="41"/>
      <c r="FJK26" s="41"/>
      <c r="FJV26" s="41"/>
      <c r="FKG26" s="41"/>
      <c r="FKR26" s="41"/>
      <c r="FLC26" s="41"/>
      <c r="FLN26" s="41"/>
      <c r="FLY26" s="41"/>
      <c r="FMJ26" s="41"/>
      <c r="FMU26" s="41"/>
      <c r="FNF26" s="41"/>
      <c r="FNQ26" s="41"/>
      <c r="FOB26" s="41"/>
      <c r="FOM26" s="41"/>
      <c r="FOX26" s="41"/>
      <c r="FPI26" s="41"/>
      <c r="FPT26" s="41"/>
      <c r="FQE26" s="41"/>
      <c r="FQP26" s="41"/>
      <c r="FRA26" s="41"/>
      <c r="FRL26" s="41"/>
      <c r="FRW26" s="41"/>
      <c r="FSH26" s="41"/>
      <c r="FSS26" s="41"/>
      <c r="FTD26" s="41"/>
      <c r="FTO26" s="41"/>
      <c r="FTZ26" s="41"/>
      <c r="FUK26" s="41"/>
      <c r="FUV26" s="41"/>
      <c r="FVG26" s="41"/>
      <c r="FVR26" s="41"/>
      <c r="FWC26" s="41"/>
      <c r="FWN26" s="41"/>
      <c r="FWY26" s="41"/>
      <c r="FXJ26" s="41"/>
      <c r="FXU26" s="41"/>
      <c r="FYF26" s="41"/>
      <c r="FYQ26" s="41"/>
      <c r="FZB26" s="41"/>
      <c r="FZM26" s="41"/>
      <c r="FZX26" s="41"/>
      <c r="GAI26" s="41"/>
      <c r="GAT26" s="41"/>
      <c r="GBE26" s="41"/>
      <c r="GBP26" s="41"/>
      <c r="GCA26" s="41"/>
      <c r="GCL26" s="41"/>
      <c r="GCW26" s="41"/>
      <c r="GDH26" s="41"/>
      <c r="GDS26" s="41"/>
      <c r="GED26" s="41"/>
      <c r="GEO26" s="41"/>
      <c r="GEZ26" s="41"/>
      <c r="GFK26" s="41"/>
      <c r="GFV26" s="41"/>
      <c r="GGG26" s="41"/>
      <c r="GGR26" s="41"/>
      <c r="GHC26" s="41"/>
      <c r="GHN26" s="41"/>
      <c r="GHY26" s="41"/>
      <c r="GIJ26" s="41"/>
      <c r="GIU26" s="41"/>
      <c r="GJF26" s="41"/>
      <c r="GJQ26" s="41"/>
      <c r="GKB26" s="41"/>
      <c r="GKM26" s="41"/>
      <c r="GKX26" s="41"/>
      <c r="GLI26" s="41"/>
      <c r="GLT26" s="41"/>
      <c r="GME26" s="41"/>
      <c r="GMP26" s="41"/>
      <c r="GNA26" s="41"/>
      <c r="GNL26" s="41"/>
      <c r="GNW26" s="41"/>
      <c r="GOH26" s="41"/>
      <c r="GOS26" s="41"/>
      <c r="GPD26" s="41"/>
      <c r="GPO26" s="41"/>
      <c r="GPZ26" s="41"/>
      <c r="GQK26" s="41"/>
      <c r="GQV26" s="41"/>
      <c r="GRG26" s="41"/>
      <c r="GRR26" s="41"/>
      <c r="GSC26" s="41"/>
      <c r="GSN26" s="41"/>
      <c r="GSY26" s="41"/>
      <c r="GTJ26" s="41"/>
      <c r="GTU26" s="41"/>
      <c r="GUF26" s="41"/>
      <c r="GUQ26" s="41"/>
      <c r="GVB26" s="41"/>
      <c r="GVM26" s="41"/>
      <c r="GVX26" s="41"/>
      <c r="GWI26" s="41"/>
      <c r="GWT26" s="41"/>
      <c r="GXE26" s="41"/>
      <c r="GXP26" s="41"/>
      <c r="GYA26" s="41"/>
      <c r="GYL26" s="41"/>
      <c r="GYW26" s="41"/>
      <c r="GZH26" s="41"/>
      <c r="GZS26" s="41"/>
      <c r="HAD26" s="41"/>
      <c r="HAO26" s="41"/>
      <c r="HAZ26" s="41"/>
      <c r="HBK26" s="41"/>
      <c r="HBV26" s="41"/>
      <c r="HCG26" s="41"/>
      <c r="HCR26" s="41"/>
      <c r="HDC26" s="41"/>
      <c r="HDN26" s="41"/>
      <c r="HDY26" s="41"/>
      <c r="HEJ26" s="41"/>
      <c r="HEU26" s="41"/>
      <c r="HFF26" s="41"/>
      <c r="HFQ26" s="41"/>
      <c r="HGB26" s="41"/>
      <c r="HGM26" s="41"/>
      <c r="HGX26" s="41"/>
      <c r="HHI26" s="41"/>
      <c r="HHT26" s="41"/>
      <c r="HIE26" s="41"/>
      <c r="HIP26" s="41"/>
      <c r="HJA26" s="41"/>
      <c r="HJL26" s="41"/>
      <c r="HJW26" s="41"/>
      <c r="HKH26" s="41"/>
      <c r="HKS26" s="41"/>
      <c r="HLD26" s="41"/>
      <c r="HLO26" s="41"/>
      <c r="HLZ26" s="41"/>
      <c r="HMK26" s="41"/>
      <c r="HMV26" s="41"/>
      <c r="HNG26" s="41"/>
      <c r="HNR26" s="41"/>
      <c r="HOC26" s="41"/>
      <c r="HON26" s="41"/>
      <c r="HOY26" s="41"/>
      <c r="HPJ26" s="41"/>
      <c r="HPU26" s="41"/>
      <c r="HQF26" s="41"/>
      <c r="HQQ26" s="41"/>
      <c r="HRB26" s="41"/>
      <c r="HRM26" s="41"/>
      <c r="HRX26" s="41"/>
      <c r="HSI26" s="41"/>
      <c r="HST26" s="41"/>
      <c r="HTE26" s="41"/>
      <c r="HTP26" s="41"/>
      <c r="HUA26" s="41"/>
      <c r="HUL26" s="41"/>
      <c r="HUW26" s="41"/>
      <c r="HVH26" s="41"/>
      <c r="HVS26" s="41"/>
      <c r="HWD26" s="41"/>
      <c r="HWO26" s="41"/>
      <c r="HWZ26" s="41"/>
      <c r="HXK26" s="41"/>
      <c r="HXV26" s="41"/>
      <c r="HYG26" s="41"/>
      <c r="HYR26" s="41"/>
      <c r="HZC26" s="41"/>
      <c r="HZN26" s="41"/>
      <c r="HZY26" s="41"/>
      <c r="IAJ26" s="41"/>
      <c r="IAU26" s="41"/>
      <c r="IBF26" s="41"/>
      <c r="IBQ26" s="41"/>
      <c r="ICB26" s="41"/>
      <c r="ICM26" s="41"/>
      <c r="ICX26" s="41"/>
      <c r="IDI26" s="41"/>
      <c r="IDT26" s="41"/>
      <c r="IEE26" s="41"/>
      <c r="IEP26" s="41"/>
      <c r="IFA26" s="41"/>
      <c r="IFL26" s="41"/>
      <c r="IFW26" s="41"/>
      <c r="IGH26" s="41"/>
      <c r="IGS26" s="41"/>
      <c r="IHD26" s="41"/>
      <c r="IHO26" s="41"/>
      <c r="IHZ26" s="41"/>
      <c r="IIK26" s="41"/>
      <c r="IIV26" s="41"/>
      <c r="IJG26" s="41"/>
      <c r="IJR26" s="41"/>
      <c r="IKC26" s="41"/>
      <c r="IKN26" s="41"/>
      <c r="IKY26" s="41"/>
      <c r="ILJ26" s="41"/>
      <c r="ILU26" s="41"/>
      <c r="IMF26" s="41"/>
      <c r="IMQ26" s="41"/>
      <c r="INB26" s="41"/>
      <c r="INM26" s="41"/>
      <c r="INX26" s="41"/>
      <c r="IOI26" s="41"/>
      <c r="IOT26" s="41"/>
      <c r="IPE26" s="41"/>
      <c r="IPP26" s="41"/>
      <c r="IQA26" s="41"/>
      <c r="IQL26" s="41"/>
      <c r="IQW26" s="41"/>
      <c r="IRH26" s="41"/>
      <c r="IRS26" s="41"/>
      <c r="ISD26" s="41"/>
      <c r="ISO26" s="41"/>
      <c r="ISZ26" s="41"/>
      <c r="ITK26" s="41"/>
      <c r="ITV26" s="41"/>
      <c r="IUG26" s="41"/>
      <c r="IUR26" s="41"/>
      <c r="IVC26" s="41"/>
      <c r="IVN26" s="41"/>
      <c r="IVY26" s="41"/>
      <c r="IWJ26" s="41"/>
      <c r="IWU26" s="41"/>
      <c r="IXF26" s="41"/>
      <c r="IXQ26" s="41"/>
      <c r="IYB26" s="41"/>
      <c r="IYM26" s="41"/>
      <c r="IYX26" s="41"/>
      <c r="IZI26" s="41"/>
      <c r="IZT26" s="41"/>
      <c r="JAE26" s="41"/>
      <c r="JAP26" s="41"/>
      <c r="JBA26" s="41"/>
      <c r="JBL26" s="41"/>
      <c r="JBW26" s="41"/>
      <c r="JCH26" s="41"/>
      <c r="JCS26" s="41"/>
      <c r="JDD26" s="41"/>
      <c r="JDO26" s="41"/>
      <c r="JDZ26" s="41"/>
      <c r="JEK26" s="41"/>
      <c r="JEV26" s="41"/>
      <c r="JFG26" s="41"/>
      <c r="JFR26" s="41"/>
      <c r="JGC26" s="41"/>
      <c r="JGN26" s="41"/>
      <c r="JGY26" s="41"/>
      <c r="JHJ26" s="41"/>
      <c r="JHU26" s="41"/>
      <c r="JIF26" s="41"/>
      <c r="JIQ26" s="41"/>
      <c r="JJB26" s="41"/>
      <c r="JJM26" s="41"/>
      <c r="JJX26" s="41"/>
      <c r="JKI26" s="41"/>
      <c r="JKT26" s="41"/>
      <c r="JLE26" s="41"/>
      <c r="JLP26" s="41"/>
      <c r="JMA26" s="41"/>
      <c r="JML26" s="41"/>
      <c r="JMW26" s="41"/>
      <c r="JNH26" s="41"/>
      <c r="JNS26" s="41"/>
      <c r="JOD26" s="41"/>
      <c r="JOO26" s="41"/>
      <c r="JOZ26" s="41"/>
      <c r="JPK26" s="41"/>
      <c r="JPV26" s="41"/>
      <c r="JQG26" s="41"/>
      <c r="JQR26" s="41"/>
      <c r="JRC26" s="41"/>
      <c r="JRN26" s="41"/>
      <c r="JRY26" s="41"/>
      <c r="JSJ26" s="41"/>
      <c r="JSU26" s="41"/>
      <c r="JTF26" s="41"/>
      <c r="JTQ26" s="41"/>
      <c r="JUB26" s="41"/>
      <c r="JUM26" s="41"/>
      <c r="JUX26" s="41"/>
      <c r="JVI26" s="41"/>
      <c r="JVT26" s="41"/>
      <c r="JWE26" s="41"/>
      <c r="JWP26" s="41"/>
      <c r="JXA26" s="41"/>
      <c r="JXL26" s="41"/>
      <c r="JXW26" s="41"/>
      <c r="JYH26" s="41"/>
      <c r="JYS26" s="41"/>
      <c r="JZD26" s="41"/>
      <c r="JZO26" s="41"/>
      <c r="JZZ26" s="41"/>
      <c r="KAK26" s="41"/>
      <c r="KAV26" s="41"/>
      <c r="KBG26" s="41"/>
      <c r="KBR26" s="41"/>
      <c r="KCC26" s="41"/>
      <c r="KCN26" s="41"/>
      <c r="KCY26" s="41"/>
      <c r="KDJ26" s="41"/>
      <c r="KDU26" s="41"/>
      <c r="KEF26" s="41"/>
      <c r="KEQ26" s="41"/>
      <c r="KFB26" s="41"/>
      <c r="KFM26" s="41"/>
      <c r="KFX26" s="41"/>
      <c r="KGI26" s="41"/>
      <c r="KGT26" s="41"/>
      <c r="KHE26" s="41"/>
      <c r="KHP26" s="41"/>
      <c r="KIA26" s="41"/>
      <c r="KIL26" s="41"/>
      <c r="KIW26" s="41"/>
      <c r="KJH26" s="41"/>
      <c r="KJS26" s="41"/>
      <c r="KKD26" s="41"/>
      <c r="KKO26" s="41"/>
      <c r="KKZ26" s="41"/>
      <c r="KLK26" s="41"/>
      <c r="KLV26" s="41"/>
      <c r="KMG26" s="41"/>
      <c r="KMR26" s="41"/>
      <c r="KNC26" s="41"/>
      <c r="KNN26" s="41"/>
      <c r="KNY26" s="41"/>
      <c r="KOJ26" s="41"/>
      <c r="KOU26" s="41"/>
      <c r="KPF26" s="41"/>
      <c r="KPQ26" s="41"/>
      <c r="KQB26" s="41"/>
      <c r="KQM26" s="41"/>
      <c r="KQX26" s="41"/>
      <c r="KRI26" s="41"/>
      <c r="KRT26" s="41"/>
      <c r="KSE26" s="41"/>
      <c r="KSP26" s="41"/>
      <c r="KTA26" s="41"/>
      <c r="KTL26" s="41"/>
      <c r="KTW26" s="41"/>
      <c r="KUH26" s="41"/>
      <c r="KUS26" s="41"/>
      <c r="KVD26" s="41"/>
      <c r="KVO26" s="41"/>
      <c r="KVZ26" s="41"/>
      <c r="KWK26" s="41"/>
      <c r="KWV26" s="41"/>
      <c r="KXG26" s="41"/>
      <c r="KXR26" s="41"/>
      <c r="KYC26" s="41"/>
      <c r="KYN26" s="41"/>
      <c r="KYY26" s="41"/>
      <c r="KZJ26" s="41"/>
      <c r="KZU26" s="41"/>
      <c r="LAF26" s="41"/>
      <c r="LAQ26" s="41"/>
      <c r="LBB26" s="41"/>
      <c r="LBM26" s="41"/>
      <c r="LBX26" s="41"/>
      <c r="LCI26" s="41"/>
      <c r="LCT26" s="41"/>
      <c r="LDE26" s="41"/>
      <c r="LDP26" s="41"/>
      <c r="LEA26" s="41"/>
      <c r="LEL26" s="41"/>
      <c r="LEW26" s="41"/>
      <c r="LFH26" s="41"/>
      <c r="LFS26" s="41"/>
      <c r="LGD26" s="41"/>
      <c r="LGO26" s="41"/>
      <c r="LGZ26" s="41"/>
      <c r="LHK26" s="41"/>
      <c r="LHV26" s="41"/>
      <c r="LIG26" s="41"/>
      <c r="LIR26" s="41"/>
      <c r="LJC26" s="41"/>
      <c r="LJN26" s="41"/>
      <c r="LJY26" s="41"/>
      <c r="LKJ26" s="41"/>
      <c r="LKU26" s="41"/>
      <c r="LLF26" s="41"/>
      <c r="LLQ26" s="41"/>
      <c r="LMB26" s="41"/>
      <c r="LMM26" s="41"/>
      <c r="LMX26" s="41"/>
      <c r="LNI26" s="41"/>
      <c r="LNT26" s="41"/>
      <c r="LOE26" s="41"/>
      <c r="LOP26" s="41"/>
      <c r="LPA26" s="41"/>
      <c r="LPL26" s="41"/>
      <c r="LPW26" s="41"/>
      <c r="LQH26" s="41"/>
      <c r="LQS26" s="41"/>
      <c r="LRD26" s="41"/>
      <c r="LRO26" s="41"/>
      <c r="LRZ26" s="41"/>
      <c r="LSK26" s="41"/>
      <c r="LSV26" s="41"/>
      <c r="LTG26" s="41"/>
      <c r="LTR26" s="41"/>
      <c r="LUC26" s="41"/>
      <c r="LUN26" s="41"/>
      <c r="LUY26" s="41"/>
      <c r="LVJ26" s="41"/>
      <c r="LVU26" s="41"/>
      <c r="LWF26" s="41"/>
      <c r="LWQ26" s="41"/>
      <c r="LXB26" s="41"/>
      <c r="LXM26" s="41"/>
      <c r="LXX26" s="41"/>
      <c r="LYI26" s="41"/>
      <c r="LYT26" s="41"/>
      <c r="LZE26" s="41"/>
      <c r="LZP26" s="41"/>
      <c r="MAA26" s="41"/>
      <c r="MAL26" s="41"/>
      <c r="MAW26" s="41"/>
      <c r="MBH26" s="41"/>
      <c r="MBS26" s="41"/>
      <c r="MCD26" s="41"/>
      <c r="MCO26" s="41"/>
      <c r="MCZ26" s="41"/>
      <c r="MDK26" s="41"/>
      <c r="MDV26" s="41"/>
      <c r="MEG26" s="41"/>
      <c r="MER26" s="41"/>
      <c r="MFC26" s="41"/>
      <c r="MFN26" s="41"/>
      <c r="MFY26" s="41"/>
      <c r="MGJ26" s="41"/>
      <c r="MGU26" s="41"/>
      <c r="MHF26" s="41"/>
      <c r="MHQ26" s="41"/>
      <c r="MIB26" s="41"/>
      <c r="MIM26" s="41"/>
      <c r="MIX26" s="41"/>
      <c r="MJI26" s="41"/>
      <c r="MJT26" s="41"/>
      <c r="MKE26" s="41"/>
      <c r="MKP26" s="41"/>
      <c r="MLA26" s="41"/>
      <c r="MLL26" s="41"/>
      <c r="MLW26" s="41"/>
      <c r="MMH26" s="41"/>
      <c r="MMS26" s="41"/>
      <c r="MND26" s="41"/>
      <c r="MNO26" s="41"/>
      <c r="MNZ26" s="41"/>
      <c r="MOK26" s="41"/>
      <c r="MOV26" s="41"/>
      <c r="MPG26" s="41"/>
      <c r="MPR26" s="41"/>
      <c r="MQC26" s="41"/>
      <c r="MQN26" s="41"/>
      <c r="MQY26" s="41"/>
      <c r="MRJ26" s="41"/>
      <c r="MRU26" s="41"/>
      <c r="MSF26" s="41"/>
      <c r="MSQ26" s="41"/>
      <c r="MTB26" s="41"/>
      <c r="MTM26" s="41"/>
      <c r="MTX26" s="41"/>
      <c r="MUI26" s="41"/>
      <c r="MUT26" s="41"/>
      <c r="MVE26" s="41"/>
      <c r="MVP26" s="41"/>
      <c r="MWA26" s="41"/>
      <c r="MWL26" s="41"/>
      <c r="MWW26" s="41"/>
      <c r="MXH26" s="41"/>
      <c r="MXS26" s="41"/>
      <c r="MYD26" s="41"/>
      <c r="MYO26" s="41"/>
      <c r="MYZ26" s="41"/>
      <c r="MZK26" s="41"/>
      <c r="MZV26" s="41"/>
      <c r="NAG26" s="41"/>
      <c r="NAR26" s="41"/>
      <c r="NBC26" s="41"/>
      <c r="NBN26" s="41"/>
      <c r="NBY26" s="41"/>
      <c r="NCJ26" s="41"/>
      <c r="NCU26" s="41"/>
      <c r="NDF26" s="41"/>
      <c r="NDQ26" s="41"/>
      <c r="NEB26" s="41"/>
      <c r="NEM26" s="41"/>
      <c r="NEX26" s="41"/>
      <c r="NFI26" s="41"/>
      <c r="NFT26" s="41"/>
      <c r="NGE26" s="41"/>
      <c r="NGP26" s="41"/>
      <c r="NHA26" s="41"/>
      <c r="NHL26" s="41"/>
      <c r="NHW26" s="41"/>
      <c r="NIH26" s="41"/>
      <c r="NIS26" s="41"/>
      <c r="NJD26" s="41"/>
      <c r="NJO26" s="41"/>
      <c r="NJZ26" s="41"/>
      <c r="NKK26" s="41"/>
      <c r="NKV26" s="41"/>
      <c r="NLG26" s="41"/>
      <c r="NLR26" s="41"/>
      <c r="NMC26" s="41"/>
      <c r="NMN26" s="41"/>
      <c r="NMY26" s="41"/>
      <c r="NNJ26" s="41"/>
      <c r="NNU26" s="41"/>
      <c r="NOF26" s="41"/>
      <c r="NOQ26" s="41"/>
      <c r="NPB26" s="41"/>
      <c r="NPM26" s="41"/>
      <c r="NPX26" s="41"/>
      <c r="NQI26" s="41"/>
      <c r="NQT26" s="41"/>
      <c r="NRE26" s="41"/>
      <c r="NRP26" s="41"/>
      <c r="NSA26" s="41"/>
      <c r="NSL26" s="41"/>
      <c r="NSW26" s="41"/>
      <c r="NTH26" s="41"/>
      <c r="NTS26" s="41"/>
      <c r="NUD26" s="41"/>
      <c r="NUO26" s="41"/>
      <c r="NUZ26" s="41"/>
      <c r="NVK26" s="41"/>
      <c r="NVV26" s="41"/>
      <c r="NWG26" s="41"/>
      <c r="NWR26" s="41"/>
      <c r="NXC26" s="41"/>
      <c r="NXN26" s="41"/>
      <c r="NXY26" s="41"/>
      <c r="NYJ26" s="41"/>
      <c r="NYU26" s="41"/>
      <c r="NZF26" s="41"/>
      <c r="NZQ26" s="41"/>
      <c r="OAB26" s="41"/>
      <c r="OAM26" s="41"/>
      <c r="OAX26" s="41"/>
      <c r="OBI26" s="41"/>
      <c r="OBT26" s="41"/>
      <c r="OCE26" s="41"/>
      <c r="OCP26" s="41"/>
      <c r="ODA26" s="41"/>
      <c r="ODL26" s="41"/>
      <c r="ODW26" s="41"/>
      <c r="OEH26" s="41"/>
      <c r="OES26" s="41"/>
      <c r="OFD26" s="41"/>
      <c r="OFO26" s="41"/>
      <c r="OFZ26" s="41"/>
      <c r="OGK26" s="41"/>
      <c r="OGV26" s="41"/>
      <c r="OHG26" s="41"/>
      <c r="OHR26" s="41"/>
      <c r="OIC26" s="41"/>
      <c r="OIN26" s="41"/>
      <c r="OIY26" s="41"/>
      <c r="OJJ26" s="41"/>
      <c r="OJU26" s="41"/>
      <c r="OKF26" s="41"/>
      <c r="OKQ26" s="41"/>
      <c r="OLB26" s="41"/>
      <c r="OLM26" s="41"/>
      <c r="OLX26" s="41"/>
      <c r="OMI26" s="41"/>
      <c r="OMT26" s="41"/>
      <c r="ONE26" s="41"/>
      <c r="ONP26" s="41"/>
      <c r="OOA26" s="41"/>
      <c r="OOL26" s="41"/>
      <c r="OOW26" s="41"/>
      <c r="OPH26" s="41"/>
      <c r="OPS26" s="41"/>
      <c r="OQD26" s="41"/>
      <c r="OQO26" s="41"/>
      <c r="OQZ26" s="41"/>
      <c r="ORK26" s="41"/>
      <c r="ORV26" s="41"/>
      <c r="OSG26" s="41"/>
      <c r="OSR26" s="41"/>
      <c r="OTC26" s="41"/>
      <c r="OTN26" s="41"/>
      <c r="OTY26" s="41"/>
      <c r="OUJ26" s="41"/>
      <c r="OUU26" s="41"/>
      <c r="OVF26" s="41"/>
      <c r="OVQ26" s="41"/>
      <c r="OWB26" s="41"/>
      <c r="OWM26" s="41"/>
      <c r="OWX26" s="41"/>
      <c r="OXI26" s="41"/>
      <c r="OXT26" s="41"/>
      <c r="OYE26" s="41"/>
      <c r="OYP26" s="41"/>
      <c r="OZA26" s="41"/>
      <c r="OZL26" s="41"/>
      <c r="OZW26" s="41"/>
      <c r="PAH26" s="41"/>
      <c r="PAS26" s="41"/>
      <c r="PBD26" s="41"/>
      <c r="PBO26" s="41"/>
      <c r="PBZ26" s="41"/>
      <c r="PCK26" s="41"/>
      <c r="PCV26" s="41"/>
      <c r="PDG26" s="41"/>
      <c r="PDR26" s="41"/>
      <c r="PEC26" s="41"/>
      <c r="PEN26" s="41"/>
      <c r="PEY26" s="41"/>
      <c r="PFJ26" s="41"/>
      <c r="PFU26" s="41"/>
      <c r="PGF26" s="41"/>
      <c r="PGQ26" s="41"/>
      <c r="PHB26" s="41"/>
      <c r="PHM26" s="41"/>
      <c r="PHX26" s="41"/>
      <c r="PII26" s="41"/>
      <c r="PIT26" s="41"/>
      <c r="PJE26" s="41"/>
      <c r="PJP26" s="41"/>
      <c r="PKA26" s="41"/>
      <c r="PKL26" s="41"/>
      <c r="PKW26" s="41"/>
      <c r="PLH26" s="41"/>
      <c r="PLS26" s="41"/>
      <c r="PMD26" s="41"/>
      <c r="PMO26" s="41"/>
      <c r="PMZ26" s="41"/>
      <c r="PNK26" s="41"/>
      <c r="PNV26" s="41"/>
      <c r="POG26" s="41"/>
      <c r="POR26" s="41"/>
      <c r="PPC26" s="41"/>
      <c r="PPN26" s="41"/>
      <c r="PPY26" s="41"/>
      <c r="PQJ26" s="41"/>
      <c r="PQU26" s="41"/>
      <c r="PRF26" s="41"/>
      <c r="PRQ26" s="41"/>
      <c r="PSB26" s="41"/>
      <c r="PSM26" s="41"/>
      <c r="PSX26" s="41"/>
      <c r="PTI26" s="41"/>
      <c r="PTT26" s="41"/>
      <c r="PUE26" s="41"/>
      <c r="PUP26" s="41"/>
      <c r="PVA26" s="41"/>
      <c r="PVL26" s="41"/>
      <c r="PVW26" s="41"/>
      <c r="PWH26" s="41"/>
      <c r="PWS26" s="41"/>
      <c r="PXD26" s="41"/>
      <c r="PXO26" s="41"/>
      <c r="PXZ26" s="41"/>
      <c r="PYK26" s="41"/>
      <c r="PYV26" s="41"/>
      <c r="PZG26" s="41"/>
      <c r="PZR26" s="41"/>
      <c r="QAC26" s="41"/>
      <c r="QAN26" s="41"/>
      <c r="QAY26" s="41"/>
      <c r="QBJ26" s="41"/>
      <c r="QBU26" s="41"/>
      <c r="QCF26" s="41"/>
      <c r="QCQ26" s="41"/>
      <c r="QDB26" s="41"/>
      <c r="QDM26" s="41"/>
      <c r="QDX26" s="41"/>
      <c r="QEI26" s="41"/>
      <c r="QET26" s="41"/>
      <c r="QFE26" s="41"/>
      <c r="QFP26" s="41"/>
      <c r="QGA26" s="41"/>
      <c r="QGL26" s="41"/>
      <c r="QGW26" s="41"/>
      <c r="QHH26" s="41"/>
      <c r="QHS26" s="41"/>
      <c r="QID26" s="41"/>
      <c r="QIO26" s="41"/>
      <c r="QIZ26" s="41"/>
      <c r="QJK26" s="41"/>
      <c r="QJV26" s="41"/>
      <c r="QKG26" s="41"/>
      <c r="QKR26" s="41"/>
      <c r="QLC26" s="41"/>
      <c r="QLN26" s="41"/>
      <c r="QLY26" s="41"/>
      <c r="QMJ26" s="41"/>
      <c r="QMU26" s="41"/>
      <c r="QNF26" s="41"/>
      <c r="QNQ26" s="41"/>
      <c r="QOB26" s="41"/>
      <c r="QOM26" s="41"/>
      <c r="QOX26" s="41"/>
      <c r="QPI26" s="41"/>
      <c r="QPT26" s="41"/>
      <c r="QQE26" s="41"/>
      <c r="QQP26" s="41"/>
      <c r="QRA26" s="41"/>
      <c r="QRL26" s="41"/>
      <c r="QRW26" s="41"/>
      <c r="QSH26" s="41"/>
      <c r="QSS26" s="41"/>
      <c r="QTD26" s="41"/>
      <c r="QTO26" s="41"/>
      <c r="QTZ26" s="41"/>
      <c r="QUK26" s="41"/>
      <c r="QUV26" s="41"/>
      <c r="QVG26" s="41"/>
      <c r="QVR26" s="41"/>
      <c r="QWC26" s="41"/>
      <c r="QWN26" s="41"/>
      <c r="QWY26" s="41"/>
      <c r="QXJ26" s="41"/>
      <c r="QXU26" s="41"/>
      <c r="QYF26" s="41"/>
      <c r="QYQ26" s="41"/>
      <c r="QZB26" s="41"/>
      <c r="QZM26" s="41"/>
      <c r="QZX26" s="41"/>
      <c r="RAI26" s="41"/>
      <c r="RAT26" s="41"/>
      <c r="RBE26" s="41"/>
      <c r="RBP26" s="41"/>
      <c r="RCA26" s="41"/>
      <c r="RCL26" s="41"/>
      <c r="RCW26" s="41"/>
      <c r="RDH26" s="41"/>
      <c r="RDS26" s="41"/>
      <c r="RED26" s="41"/>
      <c r="REO26" s="41"/>
      <c r="REZ26" s="41"/>
      <c r="RFK26" s="41"/>
      <c r="RFV26" s="41"/>
      <c r="RGG26" s="41"/>
      <c r="RGR26" s="41"/>
      <c r="RHC26" s="41"/>
      <c r="RHN26" s="41"/>
      <c r="RHY26" s="41"/>
      <c r="RIJ26" s="41"/>
      <c r="RIU26" s="41"/>
      <c r="RJF26" s="41"/>
      <c r="RJQ26" s="41"/>
      <c r="RKB26" s="41"/>
      <c r="RKM26" s="41"/>
      <c r="RKX26" s="41"/>
      <c r="RLI26" s="41"/>
      <c r="RLT26" s="41"/>
      <c r="RME26" s="41"/>
      <c r="RMP26" s="41"/>
      <c r="RNA26" s="41"/>
      <c r="RNL26" s="41"/>
      <c r="RNW26" s="41"/>
      <c r="ROH26" s="41"/>
      <c r="ROS26" s="41"/>
      <c r="RPD26" s="41"/>
      <c r="RPO26" s="41"/>
      <c r="RPZ26" s="41"/>
      <c r="RQK26" s="41"/>
      <c r="RQV26" s="41"/>
      <c r="RRG26" s="41"/>
      <c r="RRR26" s="41"/>
      <c r="RSC26" s="41"/>
      <c r="RSN26" s="41"/>
      <c r="RSY26" s="41"/>
      <c r="RTJ26" s="41"/>
      <c r="RTU26" s="41"/>
      <c r="RUF26" s="41"/>
      <c r="RUQ26" s="41"/>
      <c r="RVB26" s="41"/>
      <c r="RVM26" s="41"/>
      <c r="RVX26" s="41"/>
      <c r="RWI26" s="41"/>
      <c r="RWT26" s="41"/>
      <c r="RXE26" s="41"/>
      <c r="RXP26" s="41"/>
      <c r="RYA26" s="41"/>
      <c r="RYL26" s="41"/>
      <c r="RYW26" s="41"/>
      <c r="RZH26" s="41"/>
      <c r="RZS26" s="41"/>
      <c r="SAD26" s="41"/>
      <c r="SAO26" s="41"/>
      <c r="SAZ26" s="41"/>
      <c r="SBK26" s="41"/>
      <c r="SBV26" s="41"/>
      <c r="SCG26" s="41"/>
      <c r="SCR26" s="41"/>
      <c r="SDC26" s="41"/>
      <c r="SDN26" s="41"/>
      <c r="SDY26" s="41"/>
      <c r="SEJ26" s="41"/>
      <c r="SEU26" s="41"/>
      <c r="SFF26" s="41"/>
      <c r="SFQ26" s="41"/>
      <c r="SGB26" s="41"/>
      <c r="SGM26" s="41"/>
      <c r="SGX26" s="41"/>
      <c r="SHI26" s="41"/>
      <c r="SHT26" s="41"/>
      <c r="SIE26" s="41"/>
      <c r="SIP26" s="41"/>
      <c r="SJA26" s="41"/>
      <c r="SJL26" s="41"/>
      <c r="SJW26" s="41"/>
      <c r="SKH26" s="41"/>
      <c r="SKS26" s="41"/>
      <c r="SLD26" s="41"/>
      <c r="SLO26" s="41"/>
      <c r="SLZ26" s="41"/>
      <c r="SMK26" s="41"/>
      <c r="SMV26" s="41"/>
      <c r="SNG26" s="41"/>
      <c r="SNR26" s="41"/>
      <c r="SOC26" s="41"/>
      <c r="SON26" s="41"/>
      <c r="SOY26" s="41"/>
      <c r="SPJ26" s="41"/>
      <c r="SPU26" s="41"/>
      <c r="SQF26" s="41"/>
      <c r="SQQ26" s="41"/>
      <c r="SRB26" s="41"/>
      <c r="SRM26" s="41"/>
      <c r="SRX26" s="41"/>
      <c r="SSI26" s="41"/>
      <c r="SST26" s="41"/>
      <c r="STE26" s="41"/>
      <c r="STP26" s="41"/>
      <c r="SUA26" s="41"/>
      <c r="SUL26" s="41"/>
      <c r="SUW26" s="41"/>
      <c r="SVH26" s="41"/>
      <c r="SVS26" s="41"/>
      <c r="SWD26" s="41"/>
      <c r="SWO26" s="41"/>
      <c r="SWZ26" s="41"/>
      <c r="SXK26" s="41"/>
      <c r="SXV26" s="41"/>
      <c r="SYG26" s="41"/>
      <c r="SYR26" s="41"/>
      <c r="SZC26" s="41"/>
      <c r="SZN26" s="41"/>
      <c r="SZY26" s="41"/>
      <c r="TAJ26" s="41"/>
      <c r="TAU26" s="41"/>
      <c r="TBF26" s="41"/>
      <c r="TBQ26" s="41"/>
      <c r="TCB26" s="41"/>
      <c r="TCM26" s="41"/>
      <c r="TCX26" s="41"/>
      <c r="TDI26" s="41"/>
      <c r="TDT26" s="41"/>
      <c r="TEE26" s="41"/>
      <c r="TEP26" s="41"/>
      <c r="TFA26" s="41"/>
      <c r="TFL26" s="41"/>
      <c r="TFW26" s="41"/>
      <c r="TGH26" s="41"/>
      <c r="TGS26" s="41"/>
      <c r="THD26" s="41"/>
      <c r="THO26" s="41"/>
      <c r="THZ26" s="41"/>
      <c r="TIK26" s="41"/>
      <c r="TIV26" s="41"/>
      <c r="TJG26" s="41"/>
      <c r="TJR26" s="41"/>
      <c r="TKC26" s="41"/>
      <c r="TKN26" s="41"/>
      <c r="TKY26" s="41"/>
      <c r="TLJ26" s="41"/>
      <c r="TLU26" s="41"/>
      <c r="TMF26" s="41"/>
      <c r="TMQ26" s="41"/>
      <c r="TNB26" s="41"/>
      <c r="TNM26" s="41"/>
      <c r="TNX26" s="41"/>
      <c r="TOI26" s="41"/>
      <c r="TOT26" s="41"/>
      <c r="TPE26" s="41"/>
      <c r="TPP26" s="41"/>
      <c r="TQA26" s="41"/>
      <c r="TQL26" s="41"/>
      <c r="TQW26" s="41"/>
      <c r="TRH26" s="41"/>
      <c r="TRS26" s="41"/>
      <c r="TSD26" s="41"/>
      <c r="TSO26" s="41"/>
      <c r="TSZ26" s="41"/>
      <c r="TTK26" s="41"/>
      <c r="TTV26" s="41"/>
      <c r="TUG26" s="41"/>
      <c r="TUR26" s="41"/>
      <c r="TVC26" s="41"/>
      <c r="TVN26" s="41"/>
      <c r="TVY26" s="41"/>
      <c r="TWJ26" s="41"/>
      <c r="TWU26" s="41"/>
      <c r="TXF26" s="41"/>
      <c r="TXQ26" s="41"/>
      <c r="TYB26" s="41"/>
      <c r="TYM26" s="41"/>
      <c r="TYX26" s="41"/>
      <c r="TZI26" s="41"/>
      <c r="TZT26" s="41"/>
      <c r="UAE26" s="41"/>
      <c r="UAP26" s="41"/>
      <c r="UBA26" s="41"/>
      <c r="UBL26" s="41"/>
      <c r="UBW26" s="41"/>
      <c r="UCH26" s="41"/>
      <c r="UCS26" s="41"/>
      <c r="UDD26" s="41"/>
      <c r="UDO26" s="41"/>
      <c r="UDZ26" s="41"/>
      <c r="UEK26" s="41"/>
      <c r="UEV26" s="41"/>
      <c r="UFG26" s="41"/>
      <c r="UFR26" s="41"/>
      <c r="UGC26" s="41"/>
      <c r="UGN26" s="41"/>
      <c r="UGY26" s="41"/>
      <c r="UHJ26" s="41"/>
      <c r="UHU26" s="41"/>
      <c r="UIF26" s="41"/>
      <c r="UIQ26" s="41"/>
      <c r="UJB26" s="41"/>
      <c r="UJM26" s="41"/>
      <c r="UJX26" s="41"/>
      <c r="UKI26" s="41"/>
      <c r="UKT26" s="41"/>
      <c r="ULE26" s="41"/>
      <c r="ULP26" s="41"/>
      <c r="UMA26" s="41"/>
      <c r="UML26" s="41"/>
      <c r="UMW26" s="41"/>
      <c r="UNH26" s="41"/>
      <c r="UNS26" s="41"/>
      <c r="UOD26" s="41"/>
      <c r="UOO26" s="41"/>
      <c r="UOZ26" s="41"/>
      <c r="UPK26" s="41"/>
      <c r="UPV26" s="41"/>
      <c r="UQG26" s="41"/>
      <c r="UQR26" s="41"/>
      <c r="URC26" s="41"/>
      <c r="URN26" s="41"/>
      <c r="URY26" s="41"/>
      <c r="USJ26" s="41"/>
      <c r="USU26" s="41"/>
      <c r="UTF26" s="41"/>
      <c r="UTQ26" s="41"/>
      <c r="UUB26" s="41"/>
      <c r="UUM26" s="41"/>
      <c r="UUX26" s="41"/>
      <c r="UVI26" s="41"/>
      <c r="UVT26" s="41"/>
      <c r="UWE26" s="41"/>
      <c r="UWP26" s="41"/>
      <c r="UXA26" s="41"/>
      <c r="UXL26" s="41"/>
      <c r="UXW26" s="41"/>
      <c r="UYH26" s="41"/>
      <c r="UYS26" s="41"/>
      <c r="UZD26" s="41"/>
      <c r="UZO26" s="41"/>
      <c r="UZZ26" s="41"/>
      <c r="VAK26" s="41"/>
      <c r="VAV26" s="41"/>
      <c r="VBG26" s="41"/>
      <c r="VBR26" s="41"/>
      <c r="VCC26" s="41"/>
      <c r="VCN26" s="41"/>
      <c r="VCY26" s="41"/>
      <c r="VDJ26" s="41"/>
      <c r="VDU26" s="41"/>
      <c r="VEF26" s="41"/>
      <c r="VEQ26" s="41"/>
      <c r="VFB26" s="41"/>
      <c r="VFM26" s="41"/>
      <c r="VFX26" s="41"/>
      <c r="VGI26" s="41"/>
      <c r="VGT26" s="41"/>
      <c r="VHE26" s="41"/>
      <c r="VHP26" s="41"/>
      <c r="VIA26" s="41"/>
      <c r="VIL26" s="41"/>
      <c r="VIW26" s="41"/>
      <c r="VJH26" s="41"/>
      <c r="VJS26" s="41"/>
      <c r="VKD26" s="41"/>
      <c r="VKO26" s="41"/>
      <c r="VKZ26" s="41"/>
      <c r="VLK26" s="41"/>
      <c r="VLV26" s="41"/>
      <c r="VMG26" s="41"/>
      <c r="VMR26" s="41"/>
      <c r="VNC26" s="41"/>
      <c r="VNN26" s="41"/>
      <c r="VNY26" s="41"/>
      <c r="VOJ26" s="41"/>
      <c r="VOU26" s="41"/>
      <c r="VPF26" s="41"/>
      <c r="VPQ26" s="41"/>
      <c r="VQB26" s="41"/>
      <c r="VQM26" s="41"/>
      <c r="VQX26" s="41"/>
      <c r="VRI26" s="41"/>
      <c r="VRT26" s="41"/>
      <c r="VSE26" s="41"/>
      <c r="VSP26" s="41"/>
      <c r="VTA26" s="41"/>
      <c r="VTL26" s="41"/>
      <c r="VTW26" s="41"/>
      <c r="VUH26" s="41"/>
      <c r="VUS26" s="41"/>
      <c r="VVD26" s="41"/>
      <c r="VVO26" s="41"/>
      <c r="VVZ26" s="41"/>
      <c r="VWK26" s="41"/>
      <c r="VWV26" s="41"/>
      <c r="VXG26" s="41"/>
      <c r="VXR26" s="41"/>
      <c r="VYC26" s="41"/>
      <c r="VYN26" s="41"/>
      <c r="VYY26" s="41"/>
      <c r="VZJ26" s="41"/>
      <c r="VZU26" s="41"/>
      <c r="WAF26" s="41"/>
      <c r="WAQ26" s="41"/>
      <c r="WBB26" s="41"/>
      <c r="WBM26" s="41"/>
      <c r="WBX26" s="41"/>
      <c r="WCI26" s="41"/>
      <c r="WCT26" s="41"/>
      <c r="WDE26" s="41"/>
      <c r="WDP26" s="41"/>
      <c r="WEA26" s="41"/>
      <c r="WEL26" s="41"/>
      <c r="WEW26" s="41"/>
      <c r="WFH26" s="41"/>
      <c r="WFS26" s="41"/>
      <c r="WGD26" s="41"/>
      <c r="WGO26" s="41"/>
      <c r="WGZ26" s="41"/>
      <c r="WHK26" s="41"/>
      <c r="WHV26" s="41"/>
      <c r="WIG26" s="41"/>
      <c r="WIR26" s="41"/>
      <c r="WJC26" s="41"/>
      <c r="WJN26" s="41"/>
      <c r="WJY26" s="41"/>
      <c r="WKJ26" s="41"/>
      <c r="WKU26" s="41"/>
      <c r="WLF26" s="41"/>
      <c r="WLQ26" s="41"/>
      <c r="WMB26" s="41"/>
      <c r="WMM26" s="41"/>
      <c r="WMX26" s="41"/>
      <c r="WNI26" s="41"/>
      <c r="WNT26" s="41"/>
      <c r="WOE26" s="41"/>
      <c r="WOP26" s="41"/>
      <c r="WPA26" s="41"/>
      <c r="WPL26" s="41"/>
      <c r="WPW26" s="41"/>
      <c r="WQH26" s="41"/>
      <c r="WQS26" s="41"/>
      <c r="WRD26" s="41"/>
      <c r="WRO26" s="41"/>
      <c r="WRZ26" s="41"/>
      <c r="WSK26" s="41"/>
      <c r="WSV26" s="41"/>
      <c r="WTG26" s="41"/>
      <c r="WTR26" s="41"/>
      <c r="WUC26" s="41"/>
      <c r="WUN26" s="41"/>
      <c r="WUY26" s="41"/>
      <c r="WVJ26" s="41"/>
      <c r="WVU26" s="41"/>
      <c r="WWF26" s="41"/>
      <c r="WWQ26" s="41"/>
      <c r="WXB26" s="41"/>
      <c r="WXM26" s="41"/>
      <c r="WXX26" s="41"/>
      <c r="WYI26" s="41"/>
      <c r="WYT26" s="41"/>
      <c r="WZE26" s="41"/>
      <c r="WZP26" s="41"/>
      <c r="XAA26" s="41"/>
      <c r="XAL26" s="41"/>
      <c r="XAW26" s="41"/>
      <c r="XBH26" s="41"/>
      <c r="XBS26" s="41"/>
      <c r="XCD26" s="41"/>
      <c r="XCO26" s="41"/>
      <c r="XCZ26" s="41"/>
      <c r="XDK26" s="41"/>
      <c r="XDV26" s="41"/>
      <c r="XEG26" s="41"/>
      <c r="XER26" s="41"/>
      <c r="XFC26" s="41"/>
    </row>
    <row r="27" spans="1:1016 1027:2039 2050:3062 3073:4096 4107:5119 5130:6142 6153:7165 7176:8188 8199:9211 9222:10234 10245:11257 11268:12280 12291:13303 13314:14326 14337:15360 15371:16383" s="40" customFormat="1" ht="17.25" customHeight="1">
      <c r="A27" s="205"/>
      <c r="D27" t="s">
        <v>412</v>
      </c>
      <c r="E27"/>
      <c r="F27"/>
      <c r="H27" s="40">
        <v>100</v>
      </c>
      <c r="I27" s="42" t="s">
        <v>414</v>
      </c>
      <c r="P27" s="221"/>
      <c r="Q27" s="221"/>
      <c r="R27" s="221"/>
      <c r="S27" s="221"/>
      <c r="T27" s="221"/>
      <c r="U27" s="204"/>
      <c r="V27" s="204"/>
      <c r="W27" s="204"/>
      <c r="X27" s="204"/>
      <c r="Y27" s="204"/>
      <c r="Z27" s="204"/>
      <c r="AA27" s="40" t="s">
        <v>237</v>
      </c>
      <c r="AK27" s="41"/>
      <c r="AV27" s="41"/>
      <c r="BG27" s="41"/>
      <c r="BR27" s="41"/>
      <c r="CC27" s="41"/>
      <c r="CN27" s="41"/>
      <c r="CY27" s="41"/>
      <c r="DJ27" s="41"/>
      <c r="DU27" s="41"/>
      <c r="EF27" s="41"/>
      <c r="EQ27" s="41"/>
      <c r="FB27" s="41"/>
      <c r="FM27" s="41"/>
      <c r="FX27" s="41"/>
      <c r="GI27" s="41"/>
      <c r="GT27" s="41"/>
      <c r="HE27" s="41"/>
      <c r="HP27" s="41"/>
      <c r="IA27" s="41"/>
      <c r="IL27" s="41"/>
      <c r="IW27" s="41"/>
      <c r="JH27" s="41"/>
      <c r="JS27" s="41"/>
      <c r="KD27" s="41"/>
      <c r="KO27" s="41"/>
      <c r="KZ27" s="41"/>
      <c r="LK27" s="41"/>
      <c r="LV27" s="41"/>
      <c r="MG27" s="41"/>
      <c r="MR27" s="41"/>
      <c r="NC27" s="41"/>
      <c r="NN27" s="41"/>
      <c r="NY27" s="41"/>
      <c r="OJ27" s="41"/>
      <c r="OU27" s="41"/>
      <c r="PF27" s="41"/>
      <c r="PQ27" s="41"/>
      <c r="QB27" s="41"/>
      <c r="QM27" s="41"/>
      <c r="QX27" s="41"/>
      <c r="RI27" s="41"/>
      <c r="RT27" s="41"/>
      <c r="SE27" s="41"/>
      <c r="SP27" s="41"/>
      <c r="TA27" s="41"/>
      <c r="TL27" s="41"/>
      <c r="TW27" s="41"/>
      <c r="UH27" s="41"/>
      <c r="US27" s="41"/>
      <c r="VD27" s="41"/>
      <c r="VO27" s="41"/>
      <c r="VZ27" s="41"/>
      <c r="WK27" s="41"/>
      <c r="WV27" s="41"/>
      <c r="XG27" s="41"/>
      <c r="XR27" s="41"/>
      <c r="YC27" s="41"/>
      <c r="YN27" s="41"/>
      <c r="YY27" s="41"/>
      <c r="ZJ27" s="41"/>
      <c r="ZU27" s="41"/>
      <c r="AAF27" s="41"/>
      <c r="AAQ27" s="41"/>
      <c r="ABB27" s="41"/>
      <c r="ABM27" s="41"/>
      <c r="ABX27" s="41"/>
      <c r="ACI27" s="41"/>
      <c r="ACT27" s="41"/>
      <c r="ADE27" s="41"/>
      <c r="ADP27" s="41"/>
      <c r="AEA27" s="41"/>
      <c r="AEL27" s="41"/>
      <c r="AEW27" s="41"/>
      <c r="AFH27" s="41"/>
      <c r="AFS27" s="41"/>
      <c r="AGD27" s="41"/>
      <c r="AGO27" s="41"/>
      <c r="AGZ27" s="41"/>
      <c r="AHK27" s="41"/>
      <c r="AHV27" s="41"/>
      <c r="AIG27" s="41"/>
      <c r="AIR27" s="41"/>
      <c r="AJC27" s="41"/>
      <c r="AJN27" s="41"/>
      <c r="AJY27" s="41"/>
      <c r="AKJ27" s="41"/>
      <c r="AKU27" s="41"/>
      <c r="ALF27" s="41"/>
      <c r="ALQ27" s="41"/>
      <c r="AMB27" s="41"/>
      <c r="AMM27" s="41"/>
      <c r="AMX27" s="41"/>
      <c r="ANI27" s="41"/>
      <c r="ANT27" s="41"/>
      <c r="AOE27" s="41"/>
      <c r="AOP27" s="41"/>
      <c r="APA27" s="41"/>
      <c r="APL27" s="41"/>
      <c r="APW27" s="41"/>
      <c r="AQH27" s="41"/>
      <c r="AQS27" s="41"/>
      <c r="ARD27" s="41"/>
      <c r="ARO27" s="41"/>
      <c r="ARZ27" s="41"/>
      <c r="ASK27" s="41"/>
      <c r="ASV27" s="41"/>
      <c r="ATG27" s="41"/>
      <c r="ATR27" s="41"/>
      <c r="AUC27" s="41"/>
      <c r="AUN27" s="41"/>
      <c r="AUY27" s="41"/>
      <c r="AVJ27" s="41"/>
      <c r="AVU27" s="41"/>
      <c r="AWF27" s="41"/>
      <c r="AWQ27" s="41"/>
      <c r="AXB27" s="41"/>
      <c r="AXM27" s="41"/>
      <c r="AXX27" s="41"/>
      <c r="AYI27" s="41"/>
      <c r="AYT27" s="41"/>
      <c r="AZE27" s="41"/>
      <c r="AZP27" s="41"/>
      <c r="BAA27" s="41"/>
      <c r="BAL27" s="41"/>
      <c r="BAW27" s="41"/>
      <c r="BBH27" s="41"/>
      <c r="BBS27" s="41"/>
      <c r="BCD27" s="41"/>
      <c r="BCO27" s="41"/>
      <c r="BCZ27" s="41"/>
      <c r="BDK27" s="41"/>
      <c r="BDV27" s="41"/>
      <c r="BEG27" s="41"/>
      <c r="BER27" s="41"/>
      <c r="BFC27" s="41"/>
      <c r="BFN27" s="41"/>
      <c r="BFY27" s="41"/>
      <c r="BGJ27" s="41"/>
      <c r="BGU27" s="41"/>
      <c r="BHF27" s="41"/>
      <c r="BHQ27" s="41"/>
      <c r="BIB27" s="41"/>
      <c r="BIM27" s="41"/>
      <c r="BIX27" s="41"/>
      <c r="BJI27" s="41"/>
      <c r="BJT27" s="41"/>
      <c r="BKE27" s="41"/>
      <c r="BKP27" s="41"/>
      <c r="BLA27" s="41"/>
      <c r="BLL27" s="41"/>
      <c r="BLW27" s="41"/>
      <c r="BMH27" s="41"/>
      <c r="BMS27" s="41"/>
      <c r="BND27" s="41"/>
      <c r="BNO27" s="41"/>
      <c r="BNZ27" s="41"/>
      <c r="BOK27" s="41"/>
      <c r="BOV27" s="41"/>
      <c r="BPG27" s="41"/>
      <c r="BPR27" s="41"/>
      <c r="BQC27" s="41"/>
      <c r="BQN27" s="41"/>
      <c r="BQY27" s="41"/>
      <c r="BRJ27" s="41"/>
      <c r="BRU27" s="41"/>
      <c r="BSF27" s="41"/>
      <c r="BSQ27" s="41"/>
      <c r="BTB27" s="41"/>
      <c r="BTM27" s="41"/>
      <c r="BTX27" s="41"/>
      <c r="BUI27" s="41"/>
      <c r="BUT27" s="41"/>
      <c r="BVE27" s="41"/>
      <c r="BVP27" s="41"/>
      <c r="BWA27" s="41"/>
      <c r="BWL27" s="41"/>
      <c r="BWW27" s="41"/>
      <c r="BXH27" s="41"/>
      <c r="BXS27" s="41"/>
      <c r="BYD27" s="41"/>
      <c r="BYO27" s="41"/>
      <c r="BYZ27" s="41"/>
      <c r="BZK27" s="41"/>
      <c r="BZV27" s="41"/>
      <c r="CAG27" s="41"/>
      <c r="CAR27" s="41"/>
      <c r="CBC27" s="41"/>
      <c r="CBN27" s="41"/>
      <c r="CBY27" s="41"/>
      <c r="CCJ27" s="41"/>
      <c r="CCU27" s="41"/>
      <c r="CDF27" s="41"/>
      <c r="CDQ27" s="41"/>
      <c r="CEB27" s="41"/>
      <c r="CEM27" s="41"/>
      <c r="CEX27" s="41"/>
      <c r="CFI27" s="41"/>
      <c r="CFT27" s="41"/>
      <c r="CGE27" s="41"/>
      <c r="CGP27" s="41"/>
      <c r="CHA27" s="41"/>
      <c r="CHL27" s="41"/>
      <c r="CHW27" s="41"/>
      <c r="CIH27" s="41"/>
      <c r="CIS27" s="41"/>
      <c r="CJD27" s="41"/>
      <c r="CJO27" s="41"/>
      <c r="CJZ27" s="41"/>
      <c r="CKK27" s="41"/>
      <c r="CKV27" s="41"/>
      <c r="CLG27" s="41"/>
      <c r="CLR27" s="41"/>
      <c r="CMC27" s="41"/>
      <c r="CMN27" s="41"/>
      <c r="CMY27" s="41"/>
      <c r="CNJ27" s="41"/>
      <c r="CNU27" s="41"/>
      <c r="COF27" s="41"/>
      <c r="COQ27" s="41"/>
      <c r="CPB27" s="41"/>
      <c r="CPM27" s="41"/>
      <c r="CPX27" s="41"/>
      <c r="CQI27" s="41"/>
      <c r="CQT27" s="41"/>
      <c r="CRE27" s="41"/>
      <c r="CRP27" s="41"/>
      <c r="CSA27" s="41"/>
      <c r="CSL27" s="41"/>
      <c r="CSW27" s="41"/>
      <c r="CTH27" s="41"/>
      <c r="CTS27" s="41"/>
      <c r="CUD27" s="41"/>
      <c r="CUO27" s="41"/>
      <c r="CUZ27" s="41"/>
      <c r="CVK27" s="41"/>
      <c r="CVV27" s="41"/>
      <c r="CWG27" s="41"/>
      <c r="CWR27" s="41"/>
      <c r="CXC27" s="41"/>
      <c r="CXN27" s="41"/>
      <c r="CXY27" s="41"/>
      <c r="CYJ27" s="41"/>
      <c r="CYU27" s="41"/>
      <c r="CZF27" s="41"/>
      <c r="CZQ27" s="41"/>
      <c r="DAB27" s="41"/>
      <c r="DAM27" s="41"/>
      <c r="DAX27" s="41"/>
      <c r="DBI27" s="41"/>
      <c r="DBT27" s="41"/>
      <c r="DCE27" s="41"/>
      <c r="DCP27" s="41"/>
      <c r="DDA27" s="41"/>
      <c r="DDL27" s="41"/>
      <c r="DDW27" s="41"/>
      <c r="DEH27" s="41"/>
      <c r="DES27" s="41"/>
      <c r="DFD27" s="41"/>
      <c r="DFO27" s="41"/>
      <c r="DFZ27" s="41"/>
      <c r="DGK27" s="41"/>
      <c r="DGV27" s="41"/>
      <c r="DHG27" s="41"/>
      <c r="DHR27" s="41"/>
      <c r="DIC27" s="41"/>
      <c r="DIN27" s="41"/>
      <c r="DIY27" s="41"/>
      <c r="DJJ27" s="41"/>
      <c r="DJU27" s="41"/>
      <c r="DKF27" s="41"/>
      <c r="DKQ27" s="41"/>
      <c r="DLB27" s="41"/>
      <c r="DLM27" s="41"/>
      <c r="DLX27" s="41"/>
      <c r="DMI27" s="41"/>
      <c r="DMT27" s="41"/>
      <c r="DNE27" s="41"/>
      <c r="DNP27" s="41"/>
      <c r="DOA27" s="41"/>
      <c r="DOL27" s="41"/>
      <c r="DOW27" s="41"/>
      <c r="DPH27" s="41"/>
      <c r="DPS27" s="41"/>
      <c r="DQD27" s="41"/>
      <c r="DQO27" s="41"/>
      <c r="DQZ27" s="41"/>
      <c r="DRK27" s="41"/>
      <c r="DRV27" s="41"/>
      <c r="DSG27" s="41"/>
      <c r="DSR27" s="41"/>
      <c r="DTC27" s="41"/>
      <c r="DTN27" s="41"/>
      <c r="DTY27" s="41"/>
      <c r="DUJ27" s="41"/>
      <c r="DUU27" s="41"/>
      <c r="DVF27" s="41"/>
      <c r="DVQ27" s="41"/>
      <c r="DWB27" s="41"/>
      <c r="DWM27" s="41"/>
      <c r="DWX27" s="41"/>
      <c r="DXI27" s="41"/>
      <c r="DXT27" s="41"/>
      <c r="DYE27" s="41"/>
      <c r="DYP27" s="41"/>
      <c r="DZA27" s="41"/>
      <c r="DZL27" s="41"/>
      <c r="DZW27" s="41"/>
      <c r="EAH27" s="41"/>
      <c r="EAS27" s="41"/>
      <c r="EBD27" s="41"/>
      <c r="EBO27" s="41"/>
      <c r="EBZ27" s="41"/>
      <c r="ECK27" s="41"/>
      <c r="ECV27" s="41"/>
      <c r="EDG27" s="41"/>
      <c r="EDR27" s="41"/>
      <c r="EEC27" s="41"/>
      <c r="EEN27" s="41"/>
      <c r="EEY27" s="41"/>
      <c r="EFJ27" s="41"/>
      <c r="EFU27" s="41"/>
      <c r="EGF27" s="41"/>
      <c r="EGQ27" s="41"/>
      <c r="EHB27" s="41"/>
      <c r="EHM27" s="41"/>
      <c r="EHX27" s="41"/>
      <c r="EII27" s="41"/>
      <c r="EIT27" s="41"/>
      <c r="EJE27" s="41"/>
      <c r="EJP27" s="41"/>
      <c r="EKA27" s="41"/>
      <c r="EKL27" s="41"/>
      <c r="EKW27" s="41"/>
      <c r="ELH27" s="41"/>
      <c r="ELS27" s="41"/>
      <c r="EMD27" s="41"/>
      <c r="EMO27" s="41"/>
      <c r="EMZ27" s="41"/>
      <c r="ENK27" s="41"/>
      <c r="ENV27" s="41"/>
      <c r="EOG27" s="41"/>
      <c r="EOR27" s="41"/>
      <c r="EPC27" s="41"/>
      <c r="EPN27" s="41"/>
      <c r="EPY27" s="41"/>
      <c r="EQJ27" s="41"/>
      <c r="EQU27" s="41"/>
      <c r="ERF27" s="41"/>
      <c r="ERQ27" s="41"/>
      <c r="ESB27" s="41"/>
      <c r="ESM27" s="41"/>
      <c r="ESX27" s="41"/>
      <c r="ETI27" s="41"/>
      <c r="ETT27" s="41"/>
      <c r="EUE27" s="41"/>
      <c r="EUP27" s="41"/>
      <c r="EVA27" s="41"/>
      <c r="EVL27" s="41"/>
      <c r="EVW27" s="41"/>
      <c r="EWH27" s="41"/>
      <c r="EWS27" s="41"/>
      <c r="EXD27" s="41"/>
      <c r="EXO27" s="41"/>
      <c r="EXZ27" s="41"/>
      <c r="EYK27" s="41"/>
      <c r="EYV27" s="41"/>
      <c r="EZG27" s="41"/>
      <c r="EZR27" s="41"/>
      <c r="FAC27" s="41"/>
      <c r="FAN27" s="41"/>
      <c r="FAY27" s="41"/>
      <c r="FBJ27" s="41"/>
      <c r="FBU27" s="41"/>
      <c r="FCF27" s="41"/>
      <c r="FCQ27" s="41"/>
      <c r="FDB27" s="41"/>
      <c r="FDM27" s="41"/>
      <c r="FDX27" s="41"/>
      <c r="FEI27" s="41"/>
      <c r="FET27" s="41"/>
      <c r="FFE27" s="41"/>
      <c r="FFP27" s="41"/>
      <c r="FGA27" s="41"/>
      <c r="FGL27" s="41"/>
      <c r="FGW27" s="41"/>
      <c r="FHH27" s="41"/>
      <c r="FHS27" s="41"/>
      <c r="FID27" s="41"/>
      <c r="FIO27" s="41"/>
      <c r="FIZ27" s="41"/>
      <c r="FJK27" s="41"/>
      <c r="FJV27" s="41"/>
      <c r="FKG27" s="41"/>
      <c r="FKR27" s="41"/>
      <c r="FLC27" s="41"/>
      <c r="FLN27" s="41"/>
      <c r="FLY27" s="41"/>
      <c r="FMJ27" s="41"/>
      <c r="FMU27" s="41"/>
      <c r="FNF27" s="41"/>
      <c r="FNQ27" s="41"/>
      <c r="FOB27" s="41"/>
      <c r="FOM27" s="41"/>
      <c r="FOX27" s="41"/>
      <c r="FPI27" s="41"/>
      <c r="FPT27" s="41"/>
      <c r="FQE27" s="41"/>
      <c r="FQP27" s="41"/>
      <c r="FRA27" s="41"/>
      <c r="FRL27" s="41"/>
      <c r="FRW27" s="41"/>
      <c r="FSH27" s="41"/>
      <c r="FSS27" s="41"/>
      <c r="FTD27" s="41"/>
      <c r="FTO27" s="41"/>
      <c r="FTZ27" s="41"/>
      <c r="FUK27" s="41"/>
      <c r="FUV27" s="41"/>
      <c r="FVG27" s="41"/>
      <c r="FVR27" s="41"/>
      <c r="FWC27" s="41"/>
      <c r="FWN27" s="41"/>
      <c r="FWY27" s="41"/>
      <c r="FXJ27" s="41"/>
      <c r="FXU27" s="41"/>
      <c r="FYF27" s="41"/>
      <c r="FYQ27" s="41"/>
      <c r="FZB27" s="41"/>
      <c r="FZM27" s="41"/>
      <c r="FZX27" s="41"/>
      <c r="GAI27" s="41"/>
      <c r="GAT27" s="41"/>
      <c r="GBE27" s="41"/>
      <c r="GBP27" s="41"/>
      <c r="GCA27" s="41"/>
      <c r="GCL27" s="41"/>
      <c r="GCW27" s="41"/>
      <c r="GDH27" s="41"/>
      <c r="GDS27" s="41"/>
      <c r="GED27" s="41"/>
      <c r="GEO27" s="41"/>
      <c r="GEZ27" s="41"/>
      <c r="GFK27" s="41"/>
      <c r="GFV27" s="41"/>
      <c r="GGG27" s="41"/>
      <c r="GGR27" s="41"/>
      <c r="GHC27" s="41"/>
      <c r="GHN27" s="41"/>
      <c r="GHY27" s="41"/>
      <c r="GIJ27" s="41"/>
      <c r="GIU27" s="41"/>
      <c r="GJF27" s="41"/>
      <c r="GJQ27" s="41"/>
      <c r="GKB27" s="41"/>
      <c r="GKM27" s="41"/>
      <c r="GKX27" s="41"/>
      <c r="GLI27" s="41"/>
      <c r="GLT27" s="41"/>
      <c r="GME27" s="41"/>
      <c r="GMP27" s="41"/>
      <c r="GNA27" s="41"/>
      <c r="GNL27" s="41"/>
      <c r="GNW27" s="41"/>
      <c r="GOH27" s="41"/>
      <c r="GOS27" s="41"/>
      <c r="GPD27" s="41"/>
      <c r="GPO27" s="41"/>
      <c r="GPZ27" s="41"/>
      <c r="GQK27" s="41"/>
      <c r="GQV27" s="41"/>
      <c r="GRG27" s="41"/>
      <c r="GRR27" s="41"/>
      <c r="GSC27" s="41"/>
      <c r="GSN27" s="41"/>
      <c r="GSY27" s="41"/>
      <c r="GTJ27" s="41"/>
      <c r="GTU27" s="41"/>
      <c r="GUF27" s="41"/>
      <c r="GUQ27" s="41"/>
      <c r="GVB27" s="41"/>
      <c r="GVM27" s="41"/>
      <c r="GVX27" s="41"/>
      <c r="GWI27" s="41"/>
      <c r="GWT27" s="41"/>
      <c r="GXE27" s="41"/>
      <c r="GXP27" s="41"/>
      <c r="GYA27" s="41"/>
      <c r="GYL27" s="41"/>
      <c r="GYW27" s="41"/>
      <c r="GZH27" s="41"/>
      <c r="GZS27" s="41"/>
      <c r="HAD27" s="41"/>
      <c r="HAO27" s="41"/>
      <c r="HAZ27" s="41"/>
      <c r="HBK27" s="41"/>
      <c r="HBV27" s="41"/>
      <c r="HCG27" s="41"/>
      <c r="HCR27" s="41"/>
      <c r="HDC27" s="41"/>
      <c r="HDN27" s="41"/>
      <c r="HDY27" s="41"/>
      <c r="HEJ27" s="41"/>
      <c r="HEU27" s="41"/>
      <c r="HFF27" s="41"/>
      <c r="HFQ27" s="41"/>
      <c r="HGB27" s="41"/>
      <c r="HGM27" s="41"/>
      <c r="HGX27" s="41"/>
      <c r="HHI27" s="41"/>
      <c r="HHT27" s="41"/>
      <c r="HIE27" s="41"/>
      <c r="HIP27" s="41"/>
      <c r="HJA27" s="41"/>
      <c r="HJL27" s="41"/>
      <c r="HJW27" s="41"/>
      <c r="HKH27" s="41"/>
      <c r="HKS27" s="41"/>
      <c r="HLD27" s="41"/>
      <c r="HLO27" s="41"/>
      <c r="HLZ27" s="41"/>
      <c r="HMK27" s="41"/>
      <c r="HMV27" s="41"/>
      <c r="HNG27" s="41"/>
      <c r="HNR27" s="41"/>
      <c r="HOC27" s="41"/>
      <c r="HON27" s="41"/>
      <c r="HOY27" s="41"/>
      <c r="HPJ27" s="41"/>
      <c r="HPU27" s="41"/>
      <c r="HQF27" s="41"/>
      <c r="HQQ27" s="41"/>
      <c r="HRB27" s="41"/>
      <c r="HRM27" s="41"/>
      <c r="HRX27" s="41"/>
      <c r="HSI27" s="41"/>
      <c r="HST27" s="41"/>
      <c r="HTE27" s="41"/>
      <c r="HTP27" s="41"/>
      <c r="HUA27" s="41"/>
      <c r="HUL27" s="41"/>
      <c r="HUW27" s="41"/>
      <c r="HVH27" s="41"/>
      <c r="HVS27" s="41"/>
      <c r="HWD27" s="41"/>
      <c r="HWO27" s="41"/>
      <c r="HWZ27" s="41"/>
      <c r="HXK27" s="41"/>
      <c r="HXV27" s="41"/>
      <c r="HYG27" s="41"/>
      <c r="HYR27" s="41"/>
      <c r="HZC27" s="41"/>
      <c r="HZN27" s="41"/>
      <c r="HZY27" s="41"/>
      <c r="IAJ27" s="41"/>
      <c r="IAU27" s="41"/>
      <c r="IBF27" s="41"/>
      <c r="IBQ27" s="41"/>
      <c r="ICB27" s="41"/>
      <c r="ICM27" s="41"/>
      <c r="ICX27" s="41"/>
      <c r="IDI27" s="41"/>
      <c r="IDT27" s="41"/>
      <c r="IEE27" s="41"/>
      <c r="IEP27" s="41"/>
      <c r="IFA27" s="41"/>
      <c r="IFL27" s="41"/>
      <c r="IFW27" s="41"/>
      <c r="IGH27" s="41"/>
      <c r="IGS27" s="41"/>
      <c r="IHD27" s="41"/>
      <c r="IHO27" s="41"/>
      <c r="IHZ27" s="41"/>
      <c r="IIK27" s="41"/>
      <c r="IIV27" s="41"/>
      <c r="IJG27" s="41"/>
      <c r="IJR27" s="41"/>
      <c r="IKC27" s="41"/>
      <c r="IKN27" s="41"/>
      <c r="IKY27" s="41"/>
      <c r="ILJ27" s="41"/>
      <c r="ILU27" s="41"/>
      <c r="IMF27" s="41"/>
      <c r="IMQ27" s="41"/>
      <c r="INB27" s="41"/>
      <c r="INM27" s="41"/>
      <c r="INX27" s="41"/>
      <c r="IOI27" s="41"/>
      <c r="IOT27" s="41"/>
      <c r="IPE27" s="41"/>
      <c r="IPP27" s="41"/>
      <c r="IQA27" s="41"/>
      <c r="IQL27" s="41"/>
      <c r="IQW27" s="41"/>
      <c r="IRH27" s="41"/>
      <c r="IRS27" s="41"/>
      <c r="ISD27" s="41"/>
      <c r="ISO27" s="41"/>
      <c r="ISZ27" s="41"/>
      <c r="ITK27" s="41"/>
      <c r="ITV27" s="41"/>
      <c r="IUG27" s="41"/>
      <c r="IUR27" s="41"/>
      <c r="IVC27" s="41"/>
      <c r="IVN27" s="41"/>
      <c r="IVY27" s="41"/>
      <c r="IWJ27" s="41"/>
      <c r="IWU27" s="41"/>
      <c r="IXF27" s="41"/>
      <c r="IXQ27" s="41"/>
      <c r="IYB27" s="41"/>
      <c r="IYM27" s="41"/>
      <c r="IYX27" s="41"/>
      <c r="IZI27" s="41"/>
      <c r="IZT27" s="41"/>
      <c r="JAE27" s="41"/>
      <c r="JAP27" s="41"/>
      <c r="JBA27" s="41"/>
      <c r="JBL27" s="41"/>
      <c r="JBW27" s="41"/>
      <c r="JCH27" s="41"/>
      <c r="JCS27" s="41"/>
      <c r="JDD27" s="41"/>
      <c r="JDO27" s="41"/>
      <c r="JDZ27" s="41"/>
      <c r="JEK27" s="41"/>
      <c r="JEV27" s="41"/>
      <c r="JFG27" s="41"/>
      <c r="JFR27" s="41"/>
      <c r="JGC27" s="41"/>
      <c r="JGN27" s="41"/>
      <c r="JGY27" s="41"/>
      <c r="JHJ27" s="41"/>
      <c r="JHU27" s="41"/>
      <c r="JIF27" s="41"/>
      <c r="JIQ27" s="41"/>
      <c r="JJB27" s="41"/>
      <c r="JJM27" s="41"/>
      <c r="JJX27" s="41"/>
      <c r="JKI27" s="41"/>
      <c r="JKT27" s="41"/>
      <c r="JLE27" s="41"/>
      <c r="JLP27" s="41"/>
      <c r="JMA27" s="41"/>
      <c r="JML27" s="41"/>
      <c r="JMW27" s="41"/>
      <c r="JNH27" s="41"/>
      <c r="JNS27" s="41"/>
      <c r="JOD27" s="41"/>
      <c r="JOO27" s="41"/>
      <c r="JOZ27" s="41"/>
      <c r="JPK27" s="41"/>
      <c r="JPV27" s="41"/>
      <c r="JQG27" s="41"/>
      <c r="JQR27" s="41"/>
      <c r="JRC27" s="41"/>
      <c r="JRN27" s="41"/>
      <c r="JRY27" s="41"/>
      <c r="JSJ27" s="41"/>
      <c r="JSU27" s="41"/>
      <c r="JTF27" s="41"/>
      <c r="JTQ27" s="41"/>
      <c r="JUB27" s="41"/>
      <c r="JUM27" s="41"/>
      <c r="JUX27" s="41"/>
      <c r="JVI27" s="41"/>
      <c r="JVT27" s="41"/>
      <c r="JWE27" s="41"/>
      <c r="JWP27" s="41"/>
      <c r="JXA27" s="41"/>
      <c r="JXL27" s="41"/>
      <c r="JXW27" s="41"/>
      <c r="JYH27" s="41"/>
      <c r="JYS27" s="41"/>
      <c r="JZD27" s="41"/>
      <c r="JZO27" s="41"/>
      <c r="JZZ27" s="41"/>
      <c r="KAK27" s="41"/>
      <c r="KAV27" s="41"/>
      <c r="KBG27" s="41"/>
      <c r="KBR27" s="41"/>
      <c r="KCC27" s="41"/>
      <c r="KCN27" s="41"/>
      <c r="KCY27" s="41"/>
      <c r="KDJ27" s="41"/>
      <c r="KDU27" s="41"/>
      <c r="KEF27" s="41"/>
      <c r="KEQ27" s="41"/>
      <c r="KFB27" s="41"/>
      <c r="KFM27" s="41"/>
      <c r="KFX27" s="41"/>
      <c r="KGI27" s="41"/>
      <c r="KGT27" s="41"/>
      <c r="KHE27" s="41"/>
      <c r="KHP27" s="41"/>
      <c r="KIA27" s="41"/>
      <c r="KIL27" s="41"/>
      <c r="KIW27" s="41"/>
      <c r="KJH27" s="41"/>
      <c r="KJS27" s="41"/>
      <c r="KKD27" s="41"/>
      <c r="KKO27" s="41"/>
      <c r="KKZ27" s="41"/>
      <c r="KLK27" s="41"/>
      <c r="KLV27" s="41"/>
      <c r="KMG27" s="41"/>
      <c r="KMR27" s="41"/>
      <c r="KNC27" s="41"/>
      <c r="KNN27" s="41"/>
      <c r="KNY27" s="41"/>
      <c r="KOJ27" s="41"/>
      <c r="KOU27" s="41"/>
      <c r="KPF27" s="41"/>
      <c r="KPQ27" s="41"/>
      <c r="KQB27" s="41"/>
      <c r="KQM27" s="41"/>
      <c r="KQX27" s="41"/>
      <c r="KRI27" s="41"/>
      <c r="KRT27" s="41"/>
      <c r="KSE27" s="41"/>
      <c r="KSP27" s="41"/>
      <c r="KTA27" s="41"/>
      <c r="KTL27" s="41"/>
      <c r="KTW27" s="41"/>
      <c r="KUH27" s="41"/>
      <c r="KUS27" s="41"/>
      <c r="KVD27" s="41"/>
      <c r="KVO27" s="41"/>
      <c r="KVZ27" s="41"/>
      <c r="KWK27" s="41"/>
      <c r="KWV27" s="41"/>
      <c r="KXG27" s="41"/>
      <c r="KXR27" s="41"/>
      <c r="KYC27" s="41"/>
      <c r="KYN27" s="41"/>
      <c r="KYY27" s="41"/>
      <c r="KZJ27" s="41"/>
      <c r="KZU27" s="41"/>
      <c r="LAF27" s="41"/>
      <c r="LAQ27" s="41"/>
      <c r="LBB27" s="41"/>
      <c r="LBM27" s="41"/>
      <c r="LBX27" s="41"/>
      <c r="LCI27" s="41"/>
      <c r="LCT27" s="41"/>
      <c r="LDE27" s="41"/>
      <c r="LDP27" s="41"/>
      <c r="LEA27" s="41"/>
      <c r="LEL27" s="41"/>
      <c r="LEW27" s="41"/>
      <c r="LFH27" s="41"/>
      <c r="LFS27" s="41"/>
      <c r="LGD27" s="41"/>
      <c r="LGO27" s="41"/>
      <c r="LGZ27" s="41"/>
      <c r="LHK27" s="41"/>
      <c r="LHV27" s="41"/>
      <c r="LIG27" s="41"/>
      <c r="LIR27" s="41"/>
      <c r="LJC27" s="41"/>
      <c r="LJN27" s="41"/>
      <c r="LJY27" s="41"/>
      <c r="LKJ27" s="41"/>
      <c r="LKU27" s="41"/>
      <c r="LLF27" s="41"/>
      <c r="LLQ27" s="41"/>
      <c r="LMB27" s="41"/>
      <c r="LMM27" s="41"/>
      <c r="LMX27" s="41"/>
      <c r="LNI27" s="41"/>
      <c r="LNT27" s="41"/>
      <c r="LOE27" s="41"/>
      <c r="LOP27" s="41"/>
      <c r="LPA27" s="41"/>
      <c r="LPL27" s="41"/>
      <c r="LPW27" s="41"/>
      <c r="LQH27" s="41"/>
      <c r="LQS27" s="41"/>
      <c r="LRD27" s="41"/>
      <c r="LRO27" s="41"/>
      <c r="LRZ27" s="41"/>
      <c r="LSK27" s="41"/>
      <c r="LSV27" s="41"/>
      <c r="LTG27" s="41"/>
      <c r="LTR27" s="41"/>
      <c r="LUC27" s="41"/>
      <c r="LUN27" s="41"/>
      <c r="LUY27" s="41"/>
      <c r="LVJ27" s="41"/>
      <c r="LVU27" s="41"/>
      <c r="LWF27" s="41"/>
      <c r="LWQ27" s="41"/>
      <c r="LXB27" s="41"/>
      <c r="LXM27" s="41"/>
      <c r="LXX27" s="41"/>
      <c r="LYI27" s="41"/>
      <c r="LYT27" s="41"/>
      <c r="LZE27" s="41"/>
      <c r="LZP27" s="41"/>
      <c r="MAA27" s="41"/>
      <c r="MAL27" s="41"/>
      <c r="MAW27" s="41"/>
      <c r="MBH27" s="41"/>
      <c r="MBS27" s="41"/>
      <c r="MCD27" s="41"/>
      <c r="MCO27" s="41"/>
      <c r="MCZ27" s="41"/>
      <c r="MDK27" s="41"/>
      <c r="MDV27" s="41"/>
      <c r="MEG27" s="41"/>
      <c r="MER27" s="41"/>
      <c r="MFC27" s="41"/>
      <c r="MFN27" s="41"/>
      <c r="MFY27" s="41"/>
      <c r="MGJ27" s="41"/>
      <c r="MGU27" s="41"/>
      <c r="MHF27" s="41"/>
      <c r="MHQ27" s="41"/>
      <c r="MIB27" s="41"/>
      <c r="MIM27" s="41"/>
      <c r="MIX27" s="41"/>
      <c r="MJI27" s="41"/>
      <c r="MJT27" s="41"/>
      <c r="MKE27" s="41"/>
      <c r="MKP27" s="41"/>
      <c r="MLA27" s="41"/>
      <c r="MLL27" s="41"/>
      <c r="MLW27" s="41"/>
      <c r="MMH27" s="41"/>
      <c r="MMS27" s="41"/>
      <c r="MND27" s="41"/>
      <c r="MNO27" s="41"/>
      <c r="MNZ27" s="41"/>
      <c r="MOK27" s="41"/>
      <c r="MOV27" s="41"/>
      <c r="MPG27" s="41"/>
      <c r="MPR27" s="41"/>
      <c r="MQC27" s="41"/>
      <c r="MQN27" s="41"/>
      <c r="MQY27" s="41"/>
      <c r="MRJ27" s="41"/>
      <c r="MRU27" s="41"/>
      <c r="MSF27" s="41"/>
      <c r="MSQ27" s="41"/>
      <c r="MTB27" s="41"/>
      <c r="MTM27" s="41"/>
      <c r="MTX27" s="41"/>
      <c r="MUI27" s="41"/>
      <c r="MUT27" s="41"/>
      <c r="MVE27" s="41"/>
      <c r="MVP27" s="41"/>
      <c r="MWA27" s="41"/>
      <c r="MWL27" s="41"/>
      <c r="MWW27" s="41"/>
      <c r="MXH27" s="41"/>
      <c r="MXS27" s="41"/>
      <c r="MYD27" s="41"/>
      <c r="MYO27" s="41"/>
      <c r="MYZ27" s="41"/>
      <c r="MZK27" s="41"/>
      <c r="MZV27" s="41"/>
      <c r="NAG27" s="41"/>
      <c r="NAR27" s="41"/>
      <c r="NBC27" s="41"/>
      <c r="NBN27" s="41"/>
      <c r="NBY27" s="41"/>
      <c r="NCJ27" s="41"/>
      <c r="NCU27" s="41"/>
      <c r="NDF27" s="41"/>
      <c r="NDQ27" s="41"/>
      <c r="NEB27" s="41"/>
      <c r="NEM27" s="41"/>
      <c r="NEX27" s="41"/>
      <c r="NFI27" s="41"/>
      <c r="NFT27" s="41"/>
      <c r="NGE27" s="41"/>
      <c r="NGP27" s="41"/>
      <c r="NHA27" s="41"/>
      <c r="NHL27" s="41"/>
      <c r="NHW27" s="41"/>
      <c r="NIH27" s="41"/>
      <c r="NIS27" s="41"/>
      <c r="NJD27" s="41"/>
      <c r="NJO27" s="41"/>
      <c r="NJZ27" s="41"/>
      <c r="NKK27" s="41"/>
      <c r="NKV27" s="41"/>
      <c r="NLG27" s="41"/>
      <c r="NLR27" s="41"/>
      <c r="NMC27" s="41"/>
      <c r="NMN27" s="41"/>
      <c r="NMY27" s="41"/>
      <c r="NNJ27" s="41"/>
      <c r="NNU27" s="41"/>
      <c r="NOF27" s="41"/>
      <c r="NOQ27" s="41"/>
      <c r="NPB27" s="41"/>
      <c r="NPM27" s="41"/>
      <c r="NPX27" s="41"/>
      <c r="NQI27" s="41"/>
      <c r="NQT27" s="41"/>
      <c r="NRE27" s="41"/>
      <c r="NRP27" s="41"/>
      <c r="NSA27" s="41"/>
      <c r="NSL27" s="41"/>
      <c r="NSW27" s="41"/>
      <c r="NTH27" s="41"/>
      <c r="NTS27" s="41"/>
      <c r="NUD27" s="41"/>
      <c r="NUO27" s="41"/>
      <c r="NUZ27" s="41"/>
      <c r="NVK27" s="41"/>
      <c r="NVV27" s="41"/>
      <c r="NWG27" s="41"/>
      <c r="NWR27" s="41"/>
      <c r="NXC27" s="41"/>
      <c r="NXN27" s="41"/>
      <c r="NXY27" s="41"/>
      <c r="NYJ27" s="41"/>
      <c r="NYU27" s="41"/>
      <c r="NZF27" s="41"/>
      <c r="NZQ27" s="41"/>
      <c r="OAB27" s="41"/>
      <c r="OAM27" s="41"/>
      <c r="OAX27" s="41"/>
      <c r="OBI27" s="41"/>
      <c r="OBT27" s="41"/>
      <c r="OCE27" s="41"/>
      <c r="OCP27" s="41"/>
      <c r="ODA27" s="41"/>
      <c r="ODL27" s="41"/>
      <c r="ODW27" s="41"/>
      <c r="OEH27" s="41"/>
      <c r="OES27" s="41"/>
      <c r="OFD27" s="41"/>
      <c r="OFO27" s="41"/>
      <c r="OFZ27" s="41"/>
      <c r="OGK27" s="41"/>
      <c r="OGV27" s="41"/>
      <c r="OHG27" s="41"/>
      <c r="OHR27" s="41"/>
      <c r="OIC27" s="41"/>
      <c r="OIN27" s="41"/>
      <c r="OIY27" s="41"/>
      <c r="OJJ27" s="41"/>
      <c r="OJU27" s="41"/>
      <c r="OKF27" s="41"/>
      <c r="OKQ27" s="41"/>
      <c r="OLB27" s="41"/>
      <c r="OLM27" s="41"/>
      <c r="OLX27" s="41"/>
      <c r="OMI27" s="41"/>
      <c r="OMT27" s="41"/>
      <c r="ONE27" s="41"/>
      <c r="ONP27" s="41"/>
      <c r="OOA27" s="41"/>
      <c r="OOL27" s="41"/>
      <c r="OOW27" s="41"/>
      <c r="OPH27" s="41"/>
      <c r="OPS27" s="41"/>
      <c r="OQD27" s="41"/>
      <c r="OQO27" s="41"/>
      <c r="OQZ27" s="41"/>
      <c r="ORK27" s="41"/>
      <c r="ORV27" s="41"/>
      <c r="OSG27" s="41"/>
      <c r="OSR27" s="41"/>
      <c r="OTC27" s="41"/>
      <c r="OTN27" s="41"/>
      <c r="OTY27" s="41"/>
      <c r="OUJ27" s="41"/>
      <c r="OUU27" s="41"/>
      <c r="OVF27" s="41"/>
      <c r="OVQ27" s="41"/>
      <c r="OWB27" s="41"/>
      <c r="OWM27" s="41"/>
      <c r="OWX27" s="41"/>
      <c r="OXI27" s="41"/>
      <c r="OXT27" s="41"/>
      <c r="OYE27" s="41"/>
      <c r="OYP27" s="41"/>
      <c r="OZA27" s="41"/>
      <c r="OZL27" s="41"/>
      <c r="OZW27" s="41"/>
      <c r="PAH27" s="41"/>
      <c r="PAS27" s="41"/>
      <c r="PBD27" s="41"/>
      <c r="PBO27" s="41"/>
      <c r="PBZ27" s="41"/>
      <c r="PCK27" s="41"/>
      <c r="PCV27" s="41"/>
      <c r="PDG27" s="41"/>
      <c r="PDR27" s="41"/>
      <c r="PEC27" s="41"/>
      <c r="PEN27" s="41"/>
      <c r="PEY27" s="41"/>
      <c r="PFJ27" s="41"/>
      <c r="PFU27" s="41"/>
      <c r="PGF27" s="41"/>
      <c r="PGQ27" s="41"/>
      <c r="PHB27" s="41"/>
      <c r="PHM27" s="41"/>
      <c r="PHX27" s="41"/>
      <c r="PII27" s="41"/>
      <c r="PIT27" s="41"/>
      <c r="PJE27" s="41"/>
      <c r="PJP27" s="41"/>
      <c r="PKA27" s="41"/>
      <c r="PKL27" s="41"/>
      <c r="PKW27" s="41"/>
      <c r="PLH27" s="41"/>
      <c r="PLS27" s="41"/>
      <c r="PMD27" s="41"/>
      <c r="PMO27" s="41"/>
      <c r="PMZ27" s="41"/>
      <c r="PNK27" s="41"/>
      <c r="PNV27" s="41"/>
      <c r="POG27" s="41"/>
      <c r="POR27" s="41"/>
      <c r="PPC27" s="41"/>
      <c r="PPN27" s="41"/>
      <c r="PPY27" s="41"/>
      <c r="PQJ27" s="41"/>
      <c r="PQU27" s="41"/>
      <c r="PRF27" s="41"/>
      <c r="PRQ27" s="41"/>
      <c r="PSB27" s="41"/>
      <c r="PSM27" s="41"/>
      <c r="PSX27" s="41"/>
      <c r="PTI27" s="41"/>
      <c r="PTT27" s="41"/>
      <c r="PUE27" s="41"/>
      <c r="PUP27" s="41"/>
      <c r="PVA27" s="41"/>
      <c r="PVL27" s="41"/>
      <c r="PVW27" s="41"/>
      <c r="PWH27" s="41"/>
      <c r="PWS27" s="41"/>
      <c r="PXD27" s="41"/>
      <c r="PXO27" s="41"/>
      <c r="PXZ27" s="41"/>
      <c r="PYK27" s="41"/>
      <c r="PYV27" s="41"/>
      <c r="PZG27" s="41"/>
      <c r="PZR27" s="41"/>
      <c r="QAC27" s="41"/>
      <c r="QAN27" s="41"/>
      <c r="QAY27" s="41"/>
      <c r="QBJ27" s="41"/>
      <c r="QBU27" s="41"/>
      <c r="QCF27" s="41"/>
      <c r="QCQ27" s="41"/>
      <c r="QDB27" s="41"/>
      <c r="QDM27" s="41"/>
      <c r="QDX27" s="41"/>
      <c r="QEI27" s="41"/>
      <c r="QET27" s="41"/>
      <c r="QFE27" s="41"/>
      <c r="QFP27" s="41"/>
      <c r="QGA27" s="41"/>
      <c r="QGL27" s="41"/>
      <c r="QGW27" s="41"/>
      <c r="QHH27" s="41"/>
      <c r="QHS27" s="41"/>
      <c r="QID27" s="41"/>
      <c r="QIO27" s="41"/>
      <c r="QIZ27" s="41"/>
      <c r="QJK27" s="41"/>
      <c r="QJV27" s="41"/>
      <c r="QKG27" s="41"/>
      <c r="QKR27" s="41"/>
      <c r="QLC27" s="41"/>
      <c r="QLN27" s="41"/>
      <c r="QLY27" s="41"/>
      <c r="QMJ27" s="41"/>
      <c r="QMU27" s="41"/>
      <c r="QNF27" s="41"/>
      <c r="QNQ27" s="41"/>
      <c r="QOB27" s="41"/>
      <c r="QOM27" s="41"/>
      <c r="QOX27" s="41"/>
      <c r="QPI27" s="41"/>
      <c r="QPT27" s="41"/>
      <c r="QQE27" s="41"/>
      <c r="QQP27" s="41"/>
      <c r="QRA27" s="41"/>
      <c r="QRL27" s="41"/>
      <c r="QRW27" s="41"/>
      <c r="QSH27" s="41"/>
      <c r="QSS27" s="41"/>
      <c r="QTD27" s="41"/>
      <c r="QTO27" s="41"/>
      <c r="QTZ27" s="41"/>
      <c r="QUK27" s="41"/>
      <c r="QUV27" s="41"/>
      <c r="QVG27" s="41"/>
      <c r="QVR27" s="41"/>
      <c r="QWC27" s="41"/>
      <c r="QWN27" s="41"/>
      <c r="QWY27" s="41"/>
      <c r="QXJ27" s="41"/>
      <c r="QXU27" s="41"/>
      <c r="QYF27" s="41"/>
      <c r="QYQ27" s="41"/>
      <c r="QZB27" s="41"/>
      <c r="QZM27" s="41"/>
      <c r="QZX27" s="41"/>
      <c r="RAI27" s="41"/>
      <c r="RAT27" s="41"/>
      <c r="RBE27" s="41"/>
      <c r="RBP27" s="41"/>
      <c r="RCA27" s="41"/>
      <c r="RCL27" s="41"/>
      <c r="RCW27" s="41"/>
      <c r="RDH27" s="41"/>
      <c r="RDS27" s="41"/>
      <c r="RED27" s="41"/>
      <c r="REO27" s="41"/>
      <c r="REZ27" s="41"/>
      <c r="RFK27" s="41"/>
      <c r="RFV27" s="41"/>
      <c r="RGG27" s="41"/>
      <c r="RGR27" s="41"/>
      <c r="RHC27" s="41"/>
      <c r="RHN27" s="41"/>
      <c r="RHY27" s="41"/>
      <c r="RIJ27" s="41"/>
      <c r="RIU27" s="41"/>
      <c r="RJF27" s="41"/>
      <c r="RJQ27" s="41"/>
      <c r="RKB27" s="41"/>
      <c r="RKM27" s="41"/>
      <c r="RKX27" s="41"/>
      <c r="RLI27" s="41"/>
      <c r="RLT27" s="41"/>
      <c r="RME27" s="41"/>
      <c r="RMP27" s="41"/>
      <c r="RNA27" s="41"/>
      <c r="RNL27" s="41"/>
      <c r="RNW27" s="41"/>
      <c r="ROH27" s="41"/>
      <c r="ROS27" s="41"/>
      <c r="RPD27" s="41"/>
      <c r="RPO27" s="41"/>
      <c r="RPZ27" s="41"/>
      <c r="RQK27" s="41"/>
      <c r="RQV27" s="41"/>
      <c r="RRG27" s="41"/>
      <c r="RRR27" s="41"/>
      <c r="RSC27" s="41"/>
      <c r="RSN27" s="41"/>
      <c r="RSY27" s="41"/>
      <c r="RTJ27" s="41"/>
      <c r="RTU27" s="41"/>
      <c r="RUF27" s="41"/>
      <c r="RUQ27" s="41"/>
      <c r="RVB27" s="41"/>
      <c r="RVM27" s="41"/>
      <c r="RVX27" s="41"/>
      <c r="RWI27" s="41"/>
      <c r="RWT27" s="41"/>
      <c r="RXE27" s="41"/>
      <c r="RXP27" s="41"/>
      <c r="RYA27" s="41"/>
      <c r="RYL27" s="41"/>
      <c r="RYW27" s="41"/>
      <c r="RZH27" s="41"/>
      <c r="RZS27" s="41"/>
      <c r="SAD27" s="41"/>
      <c r="SAO27" s="41"/>
      <c r="SAZ27" s="41"/>
      <c r="SBK27" s="41"/>
      <c r="SBV27" s="41"/>
      <c r="SCG27" s="41"/>
      <c r="SCR27" s="41"/>
      <c r="SDC27" s="41"/>
      <c r="SDN27" s="41"/>
      <c r="SDY27" s="41"/>
      <c r="SEJ27" s="41"/>
      <c r="SEU27" s="41"/>
      <c r="SFF27" s="41"/>
      <c r="SFQ27" s="41"/>
      <c r="SGB27" s="41"/>
      <c r="SGM27" s="41"/>
      <c r="SGX27" s="41"/>
      <c r="SHI27" s="41"/>
      <c r="SHT27" s="41"/>
      <c r="SIE27" s="41"/>
      <c r="SIP27" s="41"/>
      <c r="SJA27" s="41"/>
      <c r="SJL27" s="41"/>
      <c r="SJW27" s="41"/>
      <c r="SKH27" s="41"/>
      <c r="SKS27" s="41"/>
      <c r="SLD27" s="41"/>
      <c r="SLO27" s="41"/>
      <c r="SLZ27" s="41"/>
      <c r="SMK27" s="41"/>
      <c r="SMV27" s="41"/>
      <c r="SNG27" s="41"/>
      <c r="SNR27" s="41"/>
      <c r="SOC27" s="41"/>
      <c r="SON27" s="41"/>
      <c r="SOY27" s="41"/>
      <c r="SPJ27" s="41"/>
      <c r="SPU27" s="41"/>
      <c r="SQF27" s="41"/>
      <c r="SQQ27" s="41"/>
      <c r="SRB27" s="41"/>
      <c r="SRM27" s="41"/>
      <c r="SRX27" s="41"/>
      <c r="SSI27" s="41"/>
      <c r="SST27" s="41"/>
      <c r="STE27" s="41"/>
      <c r="STP27" s="41"/>
      <c r="SUA27" s="41"/>
      <c r="SUL27" s="41"/>
      <c r="SUW27" s="41"/>
      <c r="SVH27" s="41"/>
      <c r="SVS27" s="41"/>
      <c r="SWD27" s="41"/>
      <c r="SWO27" s="41"/>
      <c r="SWZ27" s="41"/>
      <c r="SXK27" s="41"/>
      <c r="SXV27" s="41"/>
      <c r="SYG27" s="41"/>
      <c r="SYR27" s="41"/>
      <c r="SZC27" s="41"/>
      <c r="SZN27" s="41"/>
      <c r="SZY27" s="41"/>
      <c r="TAJ27" s="41"/>
      <c r="TAU27" s="41"/>
      <c r="TBF27" s="41"/>
      <c r="TBQ27" s="41"/>
      <c r="TCB27" s="41"/>
      <c r="TCM27" s="41"/>
      <c r="TCX27" s="41"/>
      <c r="TDI27" s="41"/>
      <c r="TDT27" s="41"/>
      <c r="TEE27" s="41"/>
      <c r="TEP27" s="41"/>
      <c r="TFA27" s="41"/>
      <c r="TFL27" s="41"/>
      <c r="TFW27" s="41"/>
      <c r="TGH27" s="41"/>
      <c r="TGS27" s="41"/>
      <c r="THD27" s="41"/>
      <c r="THO27" s="41"/>
      <c r="THZ27" s="41"/>
      <c r="TIK27" s="41"/>
      <c r="TIV27" s="41"/>
      <c r="TJG27" s="41"/>
      <c r="TJR27" s="41"/>
      <c r="TKC27" s="41"/>
      <c r="TKN27" s="41"/>
      <c r="TKY27" s="41"/>
      <c r="TLJ27" s="41"/>
      <c r="TLU27" s="41"/>
      <c r="TMF27" s="41"/>
      <c r="TMQ27" s="41"/>
      <c r="TNB27" s="41"/>
      <c r="TNM27" s="41"/>
      <c r="TNX27" s="41"/>
      <c r="TOI27" s="41"/>
      <c r="TOT27" s="41"/>
      <c r="TPE27" s="41"/>
      <c r="TPP27" s="41"/>
      <c r="TQA27" s="41"/>
      <c r="TQL27" s="41"/>
      <c r="TQW27" s="41"/>
      <c r="TRH27" s="41"/>
      <c r="TRS27" s="41"/>
      <c r="TSD27" s="41"/>
      <c r="TSO27" s="41"/>
      <c r="TSZ27" s="41"/>
      <c r="TTK27" s="41"/>
      <c r="TTV27" s="41"/>
      <c r="TUG27" s="41"/>
      <c r="TUR27" s="41"/>
      <c r="TVC27" s="41"/>
      <c r="TVN27" s="41"/>
      <c r="TVY27" s="41"/>
      <c r="TWJ27" s="41"/>
      <c r="TWU27" s="41"/>
      <c r="TXF27" s="41"/>
      <c r="TXQ27" s="41"/>
      <c r="TYB27" s="41"/>
      <c r="TYM27" s="41"/>
      <c r="TYX27" s="41"/>
      <c r="TZI27" s="41"/>
      <c r="TZT27" s="41"/>
      <c r="UAE27" s="41"/>
      <c r="UAP27" s="41"/>
      <c r="UBA27" s="41"/>
      <c r="UBL27" s="41"/>
      <c r="UBW27" s="41"/>
      <c r="UCH27" s="41"/>
      <c r="UCS27" s="41"/>
      <c r="UDD27" s="41"/>
      <c r="UDO27" s="41"/>
      <c r="UDZ27" s="41"/>
      <c r="UEK27" s="41"/>
      <c r="UEV27" s="41"/>
      <c r="UFG27" s="41"/>
      <c r="UFR27" s="41"/>
      <c r="UGC27" s="41"/>
      <c r="UGN27" s="41"/>
      <c r="UGY27" s="41"/>
      <c r="UHJ27" s="41"/>
      <c r="UHU27" s="41"/>
      <c r="UIF27" s="41"/>
      <c r="UIQ27" s="41"/>
      <c r="UJB27" s="41"/>
      <c r="UJM27" s="41"/>
      <c r="UJX27" s="41"/>
      <c r="UKI27" s="41"/>
      <c r="UKT27" s="41"/>
      <c r="ULE27" s="41"/>
      <c r="ULP27" s="41"/>
      <c r="UMA27" s="41"/>
      <c r="UML27" s="41"/>
      <c r="UMW27" s="41"/>
      <c r="UNH27" s="41"/>
      <c r="UNS27" s="41"/>
      <c r="UOD27" s="41"/>
      <c r="UOO27" s="41"/>
      <c r="UOZ27" s="41"/>
      <c r="UPK27" s="41"/>
      <c r="UPV27" s="41"/>
      <c r="UQG27" s="41"/>
      <c r="UQR27" s="41"/>
      <c r="URC27" s="41"/>
      <c r="URN27" s="41"/>
      <c r="URY27" s="41"/>
      <c r="USJ27" s="41"/>
      <c r="USU27" s="41"/>
      <c r="UTF27" s="41"/>
      <c r="UTQ27" s="41"/>
      <c r="UUB27" s="41"/>
      <c r="UUM27" s="41"/>
      <c r="UUX27" s="41"/>
      <c r="UVI27" s="41"/>
      <c r="UVT27" s="41"/>
      <c r="UWE27" s="41"/>
      <c r="UWP27" s="41"/>
      <c r="UXA27" s="41"/>
      <c r="UXL27" s="41"/>
      <c r="UXW27" s="41"/>
      <c r="UYH27" s="41"/>
      <c r="UYS27" s="41"/>
      <c r="UZD27" s="41"/>
      <c r="UZO27" s="41"/>
      <c r="UZZ27" s="41"/>
      <c r="VAK27" s="41"/>
      <c r="VAV27" s="41"/>
      <c r="VBG27" s="41"/>
      <c r="VBR27" s="41"/>
      <c r="VCC27" s="41"/>
      <c r="VCN27" s="41"/>
      <c r="VCY27" s="41"/>
      <c r="VDJ27" s="41"/>
      <c r="VDU27" s="41"/>
      <c r="VEF27" s="41"/>
      <c r="VEQ27" s="41"/>
      <c r="VFB27" s="41"/>
      <c r="VFM27" s="41"/>
      <c r="VFX27" s="41"/>
      <c r="VGI27" s="41"/>
      <c r="VGT27" s="41"/>
      <c r="VHE27" s="41"/>
      <c r="VHP27" s="41"/>
      <c r="VIA27" s="41"/>
      <c r="VIL27" s="41"/>
      <c r="VIW27" s="41"/>
      <c r="VJH27" s="41"/>
      <c r="VJS27" s="41"/>
      <c r="VKD27" s="41"/>
      <c r="VKO27" s="41"/>
      <c r="VKZ27" s="41"/>
      <c r="VLK27" s="41"/>
      <c r="VLV27" s="41"/>
      <c r="VMG27" s="41"/>
      <c r="VMR27" s="41"/>
      <c r="VNC27" s="41"/>
      <c r="VNN27" s="41"/>
      <c r="VNY27" s="41"/>
      <c r="VOJ27" s="41"/>
      <c r="VOU27" s="41"/>
      <c r="VPF27" s="41"/>
      <c r="VPQ27" s="41"/>
      <c r="VQB27" s="41"/>
      <c r="VQM27" s="41"/>
      <c r="VQX27" s="41"/>
      <c r="VRI27" s="41"/>
      <c r="VRT27" s="41"/>
      <c r="VSE27" s="41"/>
      <c r="VSP27" s="41"/>
      <c r="VTA27" s="41"/>
      <c r="VTL27" s="41"/>
      <c r="VTW27" s="41"/>
      <c r="VUH27" s="41"/>
      <c r="VUS27" s="41"/>
      <c r="VVD27" s="41"/>
      <c r="VVO27" s="41"/>
      <c r="VVZ27" s="41"/>
      <c r="VWK27" s="41"/>
      <c r="VWV27" s="41"/>
      <c r="VXG27" s="41"/>
      <c r="VXR27" s="41"/>
      <c r="VYC27" s="41"/>
      <c r="VYN27" s="41"/>
      <c r="VYY27" s="41"/>
      <c r="VZJ27" s="41"/>
      <c r="VZU27" s="41"/>
      <c r="WAF27" s="41"/>
      <c r="WAQ27" s="41"/>
      <c r="WBB27" s="41"/>
      <c r="WBM27" s="41"/>
      <c r="WBX27" s="41"/>
      <c r="WCI27" s="41"/>
      <c r="WCT27" s="41"/>
      <c r="WDE27" s="41"/>
      <c r="WDP27" s="41"/>
      <c r="WEA27" s="41"/>
      <c r="WEL27" s="41"/>
      <c r="WEW27" s="41"/>
      <c r="WFH27" s="41"/>
      <c r="WFS27" s="41"/>
      <c r="WGD27" s="41"/>
      <c r="WGO27" s="41"/>
      <c r="WGZ27" s="41"/>
      <c r="WHK27" s="41"/>
      <c r="WHV27" s="41"/>
      <c r="WIG27" s="41"/>
      <c r="WIR27" s="41"/>
      <c r="WJC27" s="41"/>
      <c r="WJN27" s="41"/>
      <c r="WJY27" s="41"/>
      <c r="WKJ27" s="41"/>
      <c r="WKU27" s="41"/>
      <c r="WLF27" s="41"/>
      <c r="WLQ27" s="41"/>
      <c r="WMB27" s="41"/>
      <c r="WMM27" s="41"/>
      <c r="WMX27" s="41"/>
      <c r="WNI27" s="41"/>
      <c r="WNT27" s="41"/>
      <c r="WOE27" s="41"/>
      <c r="WOP27" s="41"/>
      <c r="WPA27" s="41"/>
      <c r="WPL27" s="41"/>
      <c r="WPW27" s="41"/>
      <c r="WQH27" s="41"/>
      <c r="WQS27" s="41"/>
      <c r="WRD27" s="41"/>
      <c r="WRO27" s="41"/>
      <c r="WRZ27" s="41"/>
      <c r="WSK27" s="41"/>
      <c r="WSV27" s="41"/>
      <c r="WTG27" s="41"/>
      <c r="WTR27" s="41"/>
      <c r="WUC27" s="41"/>
      <c r="WUN27" s="41"/>
      <c r="WUY27" s="41"/>
      <c r="WVJ27" s="41"/>
      <c r="WVU27" s="41"/>
      <c r="WWF27" s="41"/>
      <c r="WWQ27" s="41"/>
      <c r="WXB27" s="41"/>
      <c r="WXM27" s="41"/>
      <c r="WXX27" s="41"/>
      <c r="WYI27" s="41"/>
      <c r="WYT27" s="41"/>
      <c r="WZE27" s="41"/>
      <c r="WZP27" s="41"/>
      <c r="XAA27" s="41"/>
      <c r="XAL27" s="41"/>
      <c r="XAW27" s="41"/>
      <c r="XBH27" s="41"/>
      <c r="XBS27" s="41"/>
      <c r="XCD27" s="41"/>
      <c r="XCO27" s="41"/>
      <c r="XCZ27" s="41"/>
      <c r="XDK27" s="41"/>
      <c r="XDV27" s="41"/>
      <c r="XEG27" s="41"/>
      <c r="XER27" s="41"/>
      <c r="XFC27" s="41"/>
    </row>
    <row r="28" spans="1:1016 1027:2039 2050:3062 3073:4096 4107:5119 5130:6142 6153:7165 7176:8188 8199:9211 9222:10234 10245:11257 11268:12280 12291:13303 13314:14326 14337:15360 15371:16383" s="40" customFormat="1" ht="17.25" customHeight="1">
      <c r="D28" s="131" t="s">
        <v>416</v>
      </c>
      <c r="F28" s="41"/>
      <c r="G28" s="42"/>
      <c r="H28" s="42"/>
      <c r="I28" s="42"/>
      <c r="P28" s="221"/>
      <c r="Q28" s="221"/>
      <c r="R28" s="221"/>
      <c r="S28" s="221"/>
      <c r="T28" s="221"/>
      <c r="U28" s="204"/>
      <c r="V28" s="204"/>
      <c r="W28" s="204"/>
      <c r="X28" s="204"/>
      <c r="Y28" s="204"/>
      <c r="Z28" s="204"/>
      <c r="AA28" s="40" t="s">
        <v>238</v>
      </c>
      <c r="AK28" s="41"/>
      <c r="AV28" s="41"/>
      <c r="BG28" s="41"/>
      <c r="BR28" s="41"/>
      <c r="CC28" s="41"/>
      <c r="CN28" s="41"/>
      <c r="CY28" s="41"/>
      <c r="DJ28" s="41"/>
      <c r="DU28" s="41"/>
      <c r="EF28" s="41"/>
      <c r="EQ28" s="41"/>
      <c r="FB28" s="41"/>
      <c r="FM28" s="41"/>
      <c r="FX28" s="41"/>
      <c r="GI28" s="41"/>
      <c r="GT28" s="41"/>
      <c r="HE28" s="41"/>
      <c r="HP28" s="41"/>
      <c r="IA28" s="41"/>
      <c r="IL28" s="41"/>
      <c r="IW28" s="41"/>
      <c r="JH28" s="41"/>
      <c r="JS28" s="41"/>
      <c r="KD28" s="41"/>
      <c r="KO28" s="41"/>
      <c r="KZ28" s="41"/>
      <c r="LK28" s="41"/>
      <c r="LV28" s="41"/>
      <c r="MG28" s="41"/>
      <c r="MR28" s="41"/>
      <c r="NC28" s="41"/>
      <c r="NN28" s="41"/>
      <c r="NY28" s="41"/>
      <c r="OJ28" s="41"/>
      <c r="OU28" s="41"/>
      <c r="PF28" s="41"/>
      <c r="PQ28" s="41"/>
      <c r="QB28" s="41"/>
      <c r="QM28" s="41"/>
      <c r="QX28" s="41"/>
      <c r="RI28" s="41"/>
      <c r="RT28" s="41"/>
      <c r="SE28" s="41"/>
      <c r="SP28" s="41"/>
      <c r="TA28" s="41"/>
      <c r="TL28" s="41"/>
      <c r="TW28" s="41"/>
      <c r="UH28" s="41"/>
      <c r="US28" s="41"/>
      <c r="VD28" s="41"/>
      <c r="VO28" s="41"/>
      <c r="VZ28" s="41"/>
      <c r="WK28" s="41"/>
      <c r="WV28" s="41"/>
      <c r="XG28" s="41"/>
      <c r="XR28" s="41"/>
      <c r="YC28" s="41"/>
      <c r="YN28" s="41"/>
      <c r="YY28" s="41"/>
      <c r="ZJ28" s="41"/>
      <c r="ZU28" s="41"/>
      <c r="AAF28" s="41"/>
      <c r="AAQ28" s="41"/>
      <c r="ABB28" s="41"/>
      <c r="ABM28" s="41"/>
      <c r="ABX28" s="41"/>
      <c r="ACI28" s="41"/>
      <c r="ACT28" s="41"/>
      <c r="ADE28" s="41"/>
      <c r="ADP28" s="41"/>
      <c r="AEA28" s="41"/>
      <c r="AEL28" s="41"/>
      <c r="AEW28" s="41"/>
      <c r="AFH28" s="41"/>
      <c r="AFS28" s="41"/>
      <c r="AGD28" s="41"/>
      <c r="AGO28" s="41"/>
      <c r="AGZ28" s="41"/>
      <c r="AHK28" s="41"/>
      <c r="AHV28" s="41"/>
      <c r="AIG28" s="41"/>
      <c r="AIR28" s="41"/>
      <c r="AJC28" s="41"/>
      <c r="AJN28" s="41"/>
      <c r="AJY28" s="41"/>
      <c r="AKJ28" s="41"/>
      <c r="AKU28" s="41"/>
      <c r="ALF28" s="41"/>
      <c r="ALQ28" s="41"/>
      <c r="AMB28" s="41"/>
      <c r="AMM28" s="41"/>
      <c r="AMX28" s="41"/>
      <c r="ANI28" s="41"/>
      <c r="ANT28" s="41"/>
      <c r="AOE28" s="41"/>
      <c r="AOP28" s="41"/>
      <c r="APA28" s="41"/>
      <c r="APL28" s="41"/>
      <c r="APW28" s="41"/>
      <c r="AQH28" s="41"/>
      <c r="AQS28" s="41"/>
      <c r="ARD28" s="41"/>
      <c r="ARO28" s="41"/>
      <c r="ARZ28" s="41"/>
      <c r="ASK28" s="41"/>
      <c r="ASV28" s="41"/>
      <c r="ATG28" s="41"/>
      <c r="ATR28" s="41"/>
      <c r="AUC28" s="41"/>
      <c r="AUN28" s="41"/>
      <c r="AUY28" s="41"/>
      <c r="AVJ28" s="41"/>
      <c r="AVU28" s="41"/>
      <c r="AWF28" s="41"/>
      <c r="AWQ28" s="41"/>
      <c r="AXB28" s="41"/>
      <c r="AXM28" s="41"/>
      <c r="AXX28" s="41"/>
      <c r="AYI28" s="41"/>
      <c r="AYT28" s="41"/>
      <c r="AZE28" s="41"/>
      <c r="AZP28" s="41"/>
      <c r="BAA28" s="41"/>
      <c r="BAL28" s="41"/>
      <c r="BAW28" s="41"/>
      <c r="BBH28" s="41"/>
      <c r="BBS28" s="41"/>
      <c r="BCD28" s="41"/>
      <c r="BCO28" s="41"/>
      <c r="BCZ28" s="41"/>
      <c r="BDK28" s="41"/>
      <c r="BDV28" s="41"/>
      <c r="BEG28" s="41"/>
      <c r="BER28" s="41"/>
      <c r="BFC28" s="41"/>
      <c r="BFN28" s="41"/>
      <c r="BFY28" s="41"/>
      <c r="BGJ28" s="41"/>
      <c r="BGU28" s="41"/>
      <c r="BHF28" s="41"/>
      <c r="BHQ28" s="41"/>
      <c r="BIB28" s="41"/>
      <c r="BIM28" s="41"/>
      <c r="BIX28" s="41"/>
      <c r="BJI28" s="41"/>
      <c r="BJT28" s="41"/>
      <c r="BKE28" s="41"/>
      <c r="BKP28" s="41"/>
      <c r="BLA28" s="41"/>
      <c r="BLL28" s="41"/>
      <c r="BLW28" s="41"/>
      <c r="BMH28" s="41"/>
      <c r="BMS28" s="41"/>
      <c r="BND28" s="41"/>
      <c r="BNO28" s="41"/>
      <c r="BNZ28" s="41"/>
      <c r="BOK28" s="41"/>
      <c r="BOV28" s="41"/>
      <c r="BPG28" s="41"/>
      <c r="BPR28" s="41"/>
      <c r="BQC28" s="41"/>
      <c r="BQN28" s="41"/>
      <c r="BQY28" s="41"/>
      <c r="BRJ28" s="41"/>
      <c r="BRU28" s="41"/>
      <c r="BSF28" s="41"/>
      <c r="BSQ28" s="41"/>
      <c r="BTB28" s="41"/>
      <c r="BTM28" s="41"/>
      <c r="BTX28" s="41"/>
      <c r="BUI28" s="41"/>
      <c r="BUT28" s="41"/>
      <c r="BVE28" s="41"/>
      <c r="BVP28" s="41"/>
      <c r="BWA28" s="41"/>
      <c r="BWL28" s="41"/>
      <c r="BWW28" s="41"/>
      <c r="BXH28" s="41"/>
      <c r="BXS28" s="41"/>
      <c r="BYD28" s="41"/>
      <c r="BYO28" s="41"/>
      <c r="BYZ28" s="41"/>
      <c r="BZK28" s="41"/>
      <c r="BZV28" s="41"/>
      <c r="CAG28" s="41"/>
      <c r="CAR28" s="41"/>
      <c r="CBC28" s="41"/>
      <c r="CBN28" s="41"/>
      <c r="CBY28" s="41"/>
      <c r="CCJ28" s="41"/>
      <c r="CCU28" s="41"/>
      <c r="CDF28" s="41"/>
      <c r="CDQ28" s="41"/>
      <c r="CEB28" s="41"/>
      <c r="CEM28" s="41"/>
      <c r="CEX28" s="41"/>
      <c r="CFI28" s="41"/>
      <c r="CFT28" s="41"/>
      <c r="CGE28" s="41"/>
      <c r="CGP28" s="41"/>
      <c r="CHA28" s="41"/>
      <c r="CHL28" s="41"/>
      <c r="CHW28" s="41"/>
      <c r="CIH28" s="41"/>
      <c r="CIS28" s="41"/>
      <c r="CJD28" s="41"/>
      <c r="CJO28" s="41"/>
      <c r="CJZ28" s="41"/>
      <c r="CKK28" s="41"/>
      <c r="CKV28" s="41"/>
      <c r="CLG28" s="41"/>
      <c r="CLR28" s="41"/>
      <c r="CMC28" s="41"/>
      <c r="CMN28" s="41"/>
      <c r="CMY28" s="41"/>
      <c r="CNJ28" s="41"/>
      <c r="CNU28" s="41"/>
      <c r="COF28" s="41"/>
      <c r="COQ28" s="41"/>
      <c r="CPB28" s="41"/>
      <c r="CPM28" s="41"/>
      <c r="CPX28" s="41"/>
      <c r="CQI28" s="41"/>
      <c r="CQT28" s="41"/>
      <c r="CRE28" s="41"/>
      <c r="CRP28" s="41"/>
      <c r="CSA28" s="41"/>
      <c r="CSL28" s="41"/>
      <c r="CSW28" s="41"/>
      <c r="CTH28" s="41"/>
      <c r="CTS28" s="41"/>
      <c r="CUD28" s="41"/>
      <c r="CUO28" s="41"/>
      <c r="CUZ28" s="41"/>
      <c r="CVK28" s="41"/>
      <c r="CVV28" s="41"/>
      <c r="CWG28" s="41"/>
      <c r="CWR28" s="41"/>
      <c r="CXC28" s="41"/>
      <c r="CXN28" s="41"/>
      <c r="CXY28" s="41"/>
      <c r="CYJ28" s="41"/>
      <c r="CYU28" s="41"/>
      <c r="CZF28" s="41"/>
      <c r="CZQ28" s="41"/>
      <c r="DAB28" s="41"/>
      <c r="DAM28" s="41"/>
      <c r="DAX28" s="41"/>
      <c r="DBI28" s="41"/>
      <c r="DBT28" s="41"/>
      <c r="DCE28" s="41"/>
      <c r="DCP28" s="41"/>
      <c r="DDA28" s="41"/>
      <c r="DDL28" s="41"/>
      <c r="DDW28" s="41"/>
      <c r="DEH28" s="41"/>
      <c r="DES28" s="41"/>
      <c r="DFD28" s="41"/>
      <c r="DFO28" s="41"/>
      <c r="DFZ28" s="41"/>
      <c r="DGK28" s="41"/>
      <c r="DGV28" s="41"/>
      <c r="DHG28" s="41"/>
      <c r="DHR28" s="41"/>
      <c r="DIC28" s="41"/>
      <c r="DIN28" s="41"/>
      <c r="DIY28" s="41"/>
      <c r="DJJ28" s="41"/>
      <c r="DJU28" s="41"/>
      <c r="DKF28" s="41"/>
      <c r="DKQ28" s="41"/>
      <c r="DLB28" s="41"/>
      <c r="DLM28" s="41"/>
      <c r="DLX28" s="41"/>
      <c r="DMI28" s="41"/>
      <c r="DMT28" s="41"/>
      <c r="DNE28" s="41"/>
      <c r="DNP28" s="41"/>
      <c r="DOA28" s="41"/>
      <c r="DOL28" s="41"/>
      <c r="DOW28" s="41"/>
      <c r="DPH28" s="41"/>
      <c r="DPS28" s="41"/>
      <c r="DQD28" s="41"/>
      <c r="DQO28" s="41"/>
      <c r="DQZ28" s="41"/>
      <c r="DRK28" s="41"/>
      <c r="DRV28" s="41"/>
      <c r="DSG28" s="41"/>
      <c r="DSR28" s="41"/>
      <c r="DTC28" s="41"/>
      <c r="DTN28" s="41"/>
      <c r="DTY28" s="41"/>
      <c r="DUJ28" s="41"/>
      <c r="DUU28" s="41"/>
      <c r="DVF28" s="41"/>
      <c r="DVQ28" s="41"/>
      <c r="DWB28" s="41"/>
      <c r="DWM28" s="41"/>
      <c r="DWX28" s="41"/>
      <c r="DXI28" s="41"/>
      <c r="DXT28" s="41"/>
      <c r="DYE28" s="41"/>
      <c r="DYP28" s="41"/>
      <c r="DZA28" s="41"/>
      <c r="DZL28" s="41"/>
      <c r="DZW28" s="41"/>
      <c r="EAH28" s="41"/>
      <c r="EAS28" s="41"/>
      <c r="EBD28" s="41"/>
      <c r="EBO28" s="41"/>
      <c r="EBZ28" s="41"/>
      <c r="ECK28" s="41"/>
      <c r="ECV28" s="41"/>
      <c r="EDG28" s="41"/>
      <c r="EDR28" s="41"/>
      <c r="EEC28" s="41"/>
      <c r="EEN28" s="41"/>
      <c r="EEY28" s="41"/>
      <c r="EFJ28" s="41"/>
      <c r="EFU28" s="41"/>
      <c r="EGF28" s="41"/>
      <c r="EGQ28" s="41"/>
      <c r="EHB28" s="41"/>
      <c r="EHM28" s="41"/>
      <c r="EHX28" s="41"/>
      <c r="EII28" s="41"/>
      <c r="EIT28" s="41"/>
      <c r="EJE28" s="41"/>
      <c r="EJP28" s="41"/>
      <c r="EKA28" s="41"/>
      <c r="EKL28" s="41"/>
      <c r="EKW28" s="41"/>
      <c r="ELH28" s="41"/>
      <c r="ELS28" s="41"/>
      <c r="EMD28" s="41"/>
      <c r="EMO28" s="41"/>
      <c r="EMZ28" s="41"/>
      <c r="ENK28" s="41"/>
      <c r="ENV28" s="41"/>
      <c r="EOG28" s="41"/>
      <c r="EOR28" s="41"/>
      <c r="EPC28" s="41"/>
      <c r="EPN28" s="41"/>
      <c r="EPY28" s="41"/>
      <c r="EQJ28" s="41"/>
      <c r="EQU28" s="41"/>
      <c r="ERF28" s="41"/>
      <c r="ERQ28" s="41"/>
      <c r="ESB28" s="41"/>
      <c r="ESM28" s="41"/>
      <c r="ESX28" s="41"/>
      <c r="ETI28" s="41"/>
      <c r="ETT28" s="41"/>
      <c r="EUE28" s="41"/>
      <c r="EUP28" s="41"/>
      <c r="EVA28" s="41"/>
      <c r="EVL28" s="41"/>
      <c r="EVW28" s="41"/>
      <c r="EWH28" s="41"/>
      <c r="EWS28" s="41"/>
      <c r="EXD28" s="41"/>
      <c r="EXO28" s="41"/>
      <c r="EXZ28" s="41"/>
      <c r="EYK28" s="41"/>
      <c r="EYV28" s="41"/>
      <c r="EZG28" s="41"/>
      <c r="EZR28" s="41"/>
      <c r="FAC28" s="41"/>
      <c r="FAN28" s="41"/>
      <c r="FAY28" s="41"/>
      <c r="FBJ28" s="41"/>
      <c r="FBU28" s="41"/>
      <c r="FCF28" s="41"/>
      <c r="FCQ28" s="41"/>
      <c r="FDB28" s="41"/>
      <c r="FDM28" s="41"/>
      <c r="FDX28" s="41"/>
      <c r="FEI28" s="41"/>
      <c r="FET28" s="41"/>
      <c r="FFE28" s="41"/>
      <c r="FFP28" s="41"/>
      <c r="FGA28" s="41"/>
      <c r="FGL28" s="41"/>
      <c r="FGW28" s="41"/>
      <c r="FHH28" s="41"/>
      <c r="FHS28" s="41"/>
      <c r="FID28" s="41"/>
      <c r="FIO28" s="41"/>
      <c r="FIZ28" s="41"/>
      <c r="FJK28" s="41"/>
      <c r="FJV28" s="41"/>
      <c r="FKG28" s="41"/>
      <c r="FKR28" s="41"/>
      <c r="FLC28" s="41"/>
      <c r="FLN28" s="41"/>
      <c r="FLY28" s="41"/>
      <c r="FMJ28" s="41"/>
      <c r="FMU28" s="41"/>
      <c r="FNF28" s="41"/>
      <c r="FNQ28" s="41"/>
      <c r="FOB28" s="41"/>
      <c r="FOM28" s="41"/>
      <c r="FOX28" s="41"/>
      <c r="FPI28" s="41"/>
      <c r="FPT28" s="41"/>
      <c r="FQE28" s="41"/>
      <c r="FQP28" s="41"/>
      <c r="FRA28" s="41"/>
      <c r="FRL28" s="41"/>
      <c r="FRW28" s="41"/>
      <c r="FSH28" s="41"/>
      <c r="FSS28" s="41"/>
      <c r="FTD28" s="41"/>
      <c r="FTO28" s="41"/>
      <c r="FTZ28" s="41"/>
      <c r="FUK28" s="41"/>
      <c r="FUV28" s="41"/>
      <c r="FVG28" s="41"/>
      <c r="FVR28" s="41"/>
      <c r="FWC28" s="41"/>
      <c r="FWN28" s="41"/>
      <c r="FWY28" s="41"/>
      <c r="FXJ28" s="41"/>
      <c r="FXU28" s="41"/>
      <c r="FYF28" s="41"/>
      <c r="FYQ28" s="41"/>
      <c r="FZB28" s="41"/>
      <c r="FZM28" s="41"/>
      <c r="FZX28" s="41"/>
      <c r="GAI28" s="41"/>
      <c r="GAT28" s="41"/>
      <c r="GBE28" s="41"/>
      <c r="GBP28" s="41"/>
      <c r="GCA28" s="41"/>
      <c r="GCL28" s="41"/>
      <c r="GCW28" s="41"/>
      <c r="GDH28" s="41"/>
      <c r="GDS28" s="41"/>
      <c r="GED28" s="41"/>
      <c r="GEO28" s="41"/>
      <c r="GEZ28" s="41"/>
      <c r="GFK28" s="41"/>
      <c r="GFV28" s="41"/>
      <c r="GGG28" s="41"/>
      <c r="GGR28" s="41"/>
      <c r="GHC28" s="41"/>
      <c r="GHN28" s="41"/>
      <c r="GHY28" s="41"/>
      <c r="GIJ28" s="41"/>
      <c r="GIU28" s="41"/>
      <c r="GJF28" s="41"/>
      <c r="GJQ28" s="41"/>
      <c r="GKB28" s="41"/>
      <c r="GKM28" s="41"/>
      <c r="GKX28" s="41"/>
      <c r="GLI28" s="41"/>
      <c r="GLT28" s="41"/>
      <c r="GME28" s="41"/>
      <c r="GMP28" s="41"/>
      <c r="GNA28" s="41"/>
      <c r="GNL28" s="41"/>
      <c r="GNW28" s="41"/>
      <c r="GOH28" s="41"/>
      <c r="GOS28" s="41"/>
      <c r="GPD28" s="41"/>
      <c r="GPO28" s="41"/>
      <c r="GPZ28" s="41"/>
      <c r="GQK28" s="41"/>
      <c r="GQV28" s="41"/>
      <c r="GRG28" s="41"/>
      <c r="GRR28" s="41"/>
      <c r="GSC28" s="41"/>
      <c r="GSN28" s="41"/>
      <c r="GSY28" s="41"/>
      <c r="GTJ28" s="41"/>
      <c r="GTU28" s="41"/>
      <c r="GUF28" s="41"/>
      <c r="GUQ28" s="41"/>
      <c r="GVB28" s="41"/>
      <c r="GVM28" s="41"/>
      <c r="GVX28" s="41"/>
      <c r="GWI28" s="41"/>
      <c r="GWT28" s="41"/>
      <c r="GXE28" s="41"/>
      <c r="GXP28" s="41"/>
      <c r="GYA28" s="41"/>
      <c r="GYL28" s="41"/>
      <c r="GYW28" s="41"/>
      <c r="GZH28" s="41"/>
      <c r="GZS28" s="41"/>
      <c r="HAD28" s="41"/>
      <c r="HAO28" s="41"/>
      <c r="HAZ28" s="41"/>
      <c r="HBK28" s="41"/>
      <c r="HBV28" s="41"/>
      <c r="HCG28" s="41"/>
      <c r="HCR28" s="41"/>
      <c r="HDC28" s="41"/>
      <c r="HDN28" s="41"/>
      <c r="HDY28" s="41"/>
      <c r="HEJ28" s="41"/>
      <c r="HEU28" s="41"/>
      <c r="HFF28" s="41"/>
      <c r="HFQ28" s="41"/>
      <c r="HGB28" s="41"/>
      <c r="HGM28" s="41"/>
      <c r="HGX28" s="41"/>
      <c r="HHI28" s="41"/>
      <c r="HHT28" s="41"/>
      <c r="HIE28" s="41"/>
      <c r="HIP28" s="41"/>
      <c r="HJA28" s="41"/>
      <c r="HJL28" s="41"/>
      <c r="HJW28" s="41"/>
      <c r="HKH28" s="41"/>
      <c r="HKS28" s="41"/>
      <c r="HLD28" s="41"/>
      <c r="HLO28" s="41"/>
      <c r="HLZ28" s="41"/>
      <c r="HMK28" s="41"/>
      <c r="HMV28" s="41"/>
      <c r="HNG28" s="41"/>
      <c r="HNR28" s="41"/>
      <c r="HOC28" s="41"/>
      <c r="HON28" s="41"/>
      <c r="HOY28" s="41"/>
      <c r="HPJ28" s="41"/>
      <c r="HPU28" s="41"/>
      <c r="HQF28" s="41"/>
      <c r="HQQ28" s="41"/>
      <c r="HRB28" s="41"/>
      <c r="HRM28" s="41"/>
      <c r="HRX28" s="41"/>
      <c r="HSI28" s="41"/>
      <c r="HST28" s="41"/>
      <c r="HTE28" s="41"/>
      <c r="HTP28" s="41"/>
      <c r="HUA28" s="41"/>
      <c r="HUL28" s="41"/>
      <c r="HUW28" s="41"/>
      <c r="HVH28" s="41"/>
      <c r="HVS28" s="41"/>
      <c r="HWD28" s="41"/>
      <c r="HWO28" s="41"/>
      <c r="HWZ28" s="41"/>
      <c r="HXK28" s="41"/>
      <c r="HXV28" s="41"/>
      <c r="HYG28" s="41"/>
      <c r="HYR28" s="41"/>
      <c r="HZC28" s="41"/>
      <c r="HZN28" s="41"/>
      <c r="HZY28" s="41"/>
      <c r="IAJ28" s="41"/>
      <c r="IAU28" s="41"/>
      <c r="IBF28" s="41"/>
      <c r="IBQ28" s="41"/>
      <c r="ICB28" s="41"/>
      <c r="ICM28" s="41"/>
      <c r="ICX28" s="41"/>
      <c r="IDI28" s="41"/>
      <c r="IDT28" s="41"/>
      <c r="IEE28" s="41"/>
      <c r="IEP28" s="41"/>
      <c r="IFA28" s="41"/>
      <c r="IFL28" s="41"/>
      <c r="IFW28" s="41"/>
      <c r="IGH28" s="41"/>
      <c r="IGS28" s="41"/>
      <c r="IHD28" s="41"/>
      <c r="IHO28" s="41"/>
      <c r="IHZ28" s="41"/>
      <c r="IIK28" s="41"/>
      <c r="IIV28" s="41"/>
      <c r="IJG28" s="41"/>
      <c r="IJR28" s="41"/>
      <c r="IKC28" s="41"/>
      <c r="IKN28" s="41"/>
      <c r="IKY28" s="41"/>
      <c r="ILJ28" s="41"/>
      <c r="ILU28" s="41"/>
      <c r="IMF28" s="41"/>
      <c r="IMQ28" s="41"/>
      <c r="INB28" s="41"/>
      <c r="INM28" s="41"/>
      <c r="INX28" s="41"/>
      <c r="IOI28" s="41"/>
      <c r="IOT28" s="41"/>
      <c r="IPE28" s="41"/>
      <c r="IPP28" s="41"/>
      <c r="IQA28" s="41"/>
      <c r="IQL28" s="41"/>
      <c r="IQW28" s="41"/>
      <c r="IRH28" s="41"/>
      <c r="IRS28" s="41"/>
      <c r="ISD28" s="41"/>
      <c r="ISO28" s="41"/>
      <c r="ISZ28" s="41"/>
      <c r="ITK28" s="41"/>
      <c r="ITV28" s="41"/>
      <c r="IUG28" s="41"/>
      <c r="IUR28" s="41"/>
      <c r="IVC28" s="41"/>
      <c r="IVN28" s="41"/>
      <c r="IVY28" s="41"/>
      <c r="IWJ28" s="41"/>
      <c r="IWU28" s="41"/>
      <c r="IXF28" s="41"/>
      <c r="IXQ28" s="41"/>
      <c r="IYB28" s="41"/>
      <c r="IYM28" s="41"/>
      <c r="IYX28" s="41"/>
      <c r="IZI28" s="41"/>
      <c r="IZT28" s="41"/>
      <c r="JAE28" s="41"/>
      <c r="JAP28" s="41"/>
      <c r="JBA28" s="41"/>
      <c r="JBL28" s="41"/>
      <c r="JBW28" s="41"/>
      <c r="JCH28" s="41"/>
      <c r="JCS28" s="41"/>
      <c r="JDD28" s="41"/>
      <c r="JDO28" s="41"/>
      <c r="JDZ28" s="41"/>
      <c r="JEK28" s="41"/>
      <c r="JEV28" s="41"/>
      <c r="JFG28" s="41"/>
      <c r="JFR28" s="41"/>
      <c r="JGC28" s="41"/>
      <c r="JGN28" s="41"/>
      <c r="JGY28" s="41"/>
      <c r="JHJ28" s="41"/>
      <c r="JHU28" s="41"/>
      <c r="JIF28" s="41"/>
      <c r="JIQ28" s="41"/>
      <c r="JJB28" s="41"/>
      <c r="JJM28" s="41"/>
      <c r="JJX28" s="41"/>
      <c r="JKI28" s="41"/>
      <c r="JKT28" s="41"/>
      <c r="JLE28" s="41"/>
      <c r="JLP28" s="41"/>
      <c r="JMA28" s="41"/>
      <c r="JML28" s="41"/>
      <c r="JMW28" s="41"/>
      <c r="JNH28" s="41"/>
      <c r="JNS28" s="41"/>
      <c r="JOD28" s="41"/>
      <c r="JOO28" s="41"/>
      <c r="JOZ28" s="41"/>
      <c r="JPK28" s="41"/>
      <c r="JPV28" s="41"/>
      <c r="JQG28" s="41"/>
      <c r="JQR28" s="41"/>
      <c r="JRC28" s="41"/>
      <c r="JRN28" s="41"/>
      <c r="JRY28" s="41"/>
      <c r="JSJ28" s="41"/>
      <c r="JSU28" s="41"/>
      <c r="JTF28" s="41"/>
      <c r="JTQ28" s="41"/>
      <c r="JUB28" s="41"/>
      <c r="JUM28" s="41"/>
      <c r="JUX28" s="41"/>
      <c r="JVI28" s="41"/>
      <c r="JVT28" s="41"/>
      <c r="JWE28" s="41"/>
      <c r="JWP28" s="41"/>
      <c r="JXA28" s="41"/>
      <c r="JXL28" s="41"/>
      <c r="JXW28" s="41"/>
      <c r="JYH28" s="41"/>
      <c r="JYS28" s="41"/>
      <c r="JZD28" s="41"/>
      <c r="JZO28" s="41"/>
      <c r="JZZ28" s="41"/>
      <c r="KAK28" s="41"/>
      <c r="KAV28" s="41"/>
      <c r="KBG28" s="41"/>
      <c r="KBR28" s="41"/>
      <c r="KCC28" s="41"/>
      <c r="KCN28" s="41"/>
      <c r="KCY28" s="41"/>
      <c r="KDJ28" s="41"/>
      <c r="KDU28" s="41"/>
      <c r="KEF28" s="41"/>
      <c r="KEQ28" s="41"/>
      <c r="KFB28" s="41"/>
      <c r="KFM28" s="41"/>
      <c r="KFX28" s="41"/>
      <c r="KGI28" s="41"/>
      <c r="KGT28" s="41"/>
      <c r="KHE28" s="41"/>
      <c r="KHP28" s="41"/>
      <c r="KIA28" s="41"/>
      <c r="KIL28" s="41"/>
      <c r="KIW28" s="41"/>
      <c r="KJH28" s="41"/>
      <c r="KJS28" s="41"/>
      <c r="KKD28" s="41"/>
      <c r="KKO28" s="41"/>
      <c r="KKZ28" s="41"/>
      <c r="KLK28" s="41"/>
      <c r="KLV28" s="41"/>
      <c r="KMG28" s="41"/>
      <c r="KMR28" s="41"/>
      <c r="KNC28" s="41"/>
      <c r="KNN28" s="41"/>
      <c r="KNY28" s="41"/>
      <c r="KOJ28" s="41"/>
      <c r="KOU28" s="41"/>
      <c r="KPF28" s="41"/>
      <c r="KPQ28" s="41"/>
      <c r="KQB28" s="41"/>
      <c r="KQM28" s="41"/>
      <c r="KQX28" s="41"/>
      <c r="KRI28" s="41"/>
      <c r="KRT28" s="41"/>
      <c r="KSE28" s="41"/>
      <c r="KSP28" s="41"/>
      <c r="KTA28" s="41"/>
      <c r="KTL28" s="41"/>
      <c r="KTW28" s="41"/>
      <c r="KUH28" s="41"/>
      <c r="KUS28" s="41"/>
      <c r="KVD28" s="41"/>
      <c r="KVO28" s="41"/>
      <c r="KVZ28" s="41"/>
      <c r="KWK28" s="41"/>
      <c r="KWV28" s="41"/>
      <c r="KXG28" s="41"/>
      <c r="KXR28" s="41"/>
      <c r="KYC28" s="41"/>
      <c r="KYN28" s="41"/>
      <c r="KYY28" s="41"/>
      <c r="KZJ28" s="41"/>
      <c r="KZU28" s="41"/>
      <c r="LAF28" s="41"/>
      <c r="LAQ28" s="41"/>
      <c r="LBB28" s="41"/>
      <c r="LBM28" s="41"/>
      <c r="LBX28" s="41"/>
      <c r="LCI28" s="41"/>
      <c r="LCT28" s="41"/>
      <c r="LDE28" s="41"/>
      <c r="LDP28" s="41"/>
      <c r="LEA28" s="41"/>
      <c r="LEL28" s="41"/>
      <c r="LEW28" s="41"/>
      <c r="LFH28" s="41"/>
      <c r="LFS28" s="41"/>
      <c r="LGD28" s="41"/>
      <c r="LGO28" s="41"/>
      <c r="LGZ28" s="41"/>
      <c r="LHK28" s="41"/>
      <c r="LHV28" s="41"/>
      <c r="LIG28" s="41"/>
      <c r="LIR28" s="41"/>
      <c r="LJC28" s="41"/>
      <c r="LJN28" s="41"/>
      <c r="LJY28" s="41"/>
      <c r="LKJ28" s="41"/>
      <c r="LKU28" s="41"/>
      <c r="LLF28" s="41"/>
      <c r="LLQ28" s="41"/>
      <c r="LMB28" s="41"/>
      <c r="LMM28" s="41"/>
      <c r="LMX28" s="41"/>
      <c r="LNI28" s="41"/>
      <c r="LNT28" s="41"/>
      <c r="LOE28" s="41"/>
      <c r="LOP28" s="41"/>
      <c r="LPA28" s="41"/>
      <c r="LPL28" s="41"/>
      <c r="LPW28" s="41"/>
      <c r="LQH28" s="41"/>
      <c r="LQS28" s="41"/>
      <c r="LRD28" s="41"/>
      <c r="LRO28" s="41"/>
      <c r="LRZ28" s="41"/>
      <c r="LSK28" s="41"/>
      <c r="LSV28" s="41"/>
      <c r="LTG28" s="41"/>
      <c r="LTR28" s="41"/>
      <c r="LUC28" s="41"/>
      <c r="LUN28" s="41"/>
      <c r="LUY28" s="41"/>
      <c r="LVJ28" s="41"/>
      <c r="LVU28" s="41"/>
      <c r="LWF28" s="41"/>
      <c r="LWQ28" s="41"/>
      <c r="LXB28" s="41"/>
      <c r="LXM28" s="41"/>
      <c r="LXX28" s="41"/>
      <c r="LYI28" s="41"/>
      <c r="LYT28" s="41"/>
      <c r="LZE28" s="41"/>
      <c r="LZP28" s="41"/>
      <c r="MAA28" s="41"/>
      <c r="MAL28" s="41"/>
      <c r="MAW28" s="41"/>
      <c r="MBH28" s="41"/>
      <c r="MBS28" s="41"/>
      <c r="MCD28" s="41"/>
      <c r="MCO28" s="41"/>
      <c r="MCZ28" s="41"/>
      <c r="MDK28" s="41"/>
      <c r="MDV28" s="41"/>
      <c r="MEG28" s="41"/>
      <c r="MER28" s="41"/>
      <c r="MFC28" s="41"/>
      <c r="MFN28" s="41"/>
      <c r="MFY28" s="41"/>
      <c r="MGJ28" s="41"/>
      <c r="MGU28" s="41"/>
      <c r="MHF28" s="41"/>
      <c r="MHQ28" s="41"/>
      <c r="MIB28" s="41"/>
      <c r="MIM28" s="41"/>
      <c r="MIX28" s="41"/>
      <c r="MJI28" s="41"/>
      <c r="MJT28" s="41"/>
      <c r="MKE28" s="41"/>
      <c r="MKP28" s="41"/>
      <c r="MLA28" s="41"/>
      <c r="MLL28" s="41"/>
      <c r="MLW28" s="41"/>
      <c r="MMH28" s="41"/>
      <c r="MMS28" s="41"/>
      <c r="MND28" s="41"/>
      <c r="MNO28" s="41"/>
      <c r="MNZ28" s="41"/>
      <c r="MOK28" s="41"/>
      <c r="MOV28" s="41"/>
      <c r="MPG28" s="41"/>
      <c r="MPR28" s="41"/>
      <c r="MQC28" s="41"/>
      <c r="MQN28" s="41"/>
      <c r="MQY28" s="41"/>
      <c r="MRJ28" s="41"/>
      <c r="MRU28" s="41"/>
      <c r="MSF28" s="41"/>
      <c r="MSQ28" s="41"/>
      <c r="MTB28" s="41"/>
      <c r="MTM28" s="41"/>
      <c r="MTX28" s="41"/>
      <c r="MUI28" s="41"/>
      <c r="MUT28" s="41"/>
      <c r="MVE28" s="41"/>
      <c r="MVP28" s="41"/>
      <c r="MWA28" s="41"/>
      <c r="MWL28" s="41"/>
      <c r="MWW28" s="41"/>
      <c r="MXH28" s="41"/>
      <c r="MXS28" s="41"/>
      <c r="MYD28" s="41"/>
      <c r="MYO28" s="41"/>
      <c r="MYZ28" s="41"/>
      <c r="MZK28" s="41"/>
      <c r="MZV28" s="41"/>
      <c r="NAG28" s="41"/>
      <c r="NAR28" s="41"/>
      <c r="NBC28" s="41"/>
      <c r="NBN28" s="41"/>
      <c r="NBY28" s="41"/>
      <c r="NCJ28" s="41"/>
      <c r="NCU28" s="41"/>
      <c r="NDF28" s="41"/>
      <c r="NDQ28" s="41"/>
      <c r="NEB28" s="41"/>
      <c r="NEM28" s="41"/>
      <c r="NEX28" s="41"/>
      <c r="NFI28" s="41"/>
      <c r="NFT28" s="41"/>
      <c r="NGE28" s="41"/>
      <c r="NGP28" s="41"/>
      <c r="NHA28" s="41"/>
      <c r="NHL28" s="41"/>
      <c r="NHW28" s="41"/>
      <c r="NIH28" s="41"/>
      <c r="NIS28" s="41"/>
      <c r="NJD28" s="41"/>
      <c r="NJO28" s="41"/>
      <c r="NJZ28" s="41"/>
      <c r="NKK28" s="41"/>
      <c r="NKV28" s="41"/>
      <c r="NLG28" s="41"/>
      <c r="NLR28" s="41"/>
      <c r="NMC28" s="41"/>
      <c r="NMN28" s="41"/>
      <c r="NMY28" s="41"/>
      <c r="NNJ28" s="41"/>
      <c r="NNU28" s="41"/>
      <c r="NOF28" s="41"/>
      <c r="NOQ28" s="41"/>
      <c r="NPB28" s="41"/>
      <c r="NPM28" s="41"/>
      <c r="NPX28" s="41"/>
      <c r="NQI28" s="41"/>
      <c r="NQT28" s="41"/>
      <c r="NRE28" s="41"/>
      <c r="NRP28" s="41"/>
      <c r="NSA28" s="41"/>
      <c r="NSL28" s="41"/>
      <c r="NSW28" s="41"/>
      <c r="NTH28" s="41"/>
      <c r="NTS28" s="41"/>
      <c r="NUD28" s="41"/>
      <c r="NUO28" s="41"/>
      <c r="NUZ28" s="41"/>
      <c r="NVK28" s="41"/>
      <c r="NVV28" s="41"/>
      <c r="NWG28" s="41"/>
      <c r="NWR28" s="41"/>
      <c r="NXC28" s="41"/>
      <c r="NXN28" s="41"/>
      <c r="NXY28" s="41"/>
      <c r="NYJ28" s="41"/>
      <c r="NYU28" s="41"/>
      <c r="NZF28" s="41"/>
      <c r="NZQ28" s="41"/>
      <c r="OAB28" s="41"/>
      <c r="OAM28" s="41"/>
      <c r="OAX28" s="41"/>
      <c r="OBI28" s="41"/>
      <c r="OBT28" s="41"/>
      <c r="OCE28" s="41"/>
      <c r="OCP28" s="41"/>
      <c r="ODA28" s="41"/>
      <c r="ODL28" s="41"/>
      <c r="ODW28" s="41"/>
      <c r="OEH28" s="41"/>
      <c r="OES28" s="41"/>
      <c r="OFD28" s="41"/>
      <c r="OFO28" s="41"/>
      <c r="OFZ28" s="41"/>
      <c r="OGK28" s="41"/>
      <c r="OGV28" s="41"/>
      <c r="OHG28" s="41"/>
      <c r="OHR28" s="41"/>
      <c r="OIC28" s="41"/>
      <c r="OIN28" s="41"/>
      <c r="OIY28" s="41"/>
      <c r="OJJ28" s="41"/>
      <c r="OJU28" s="41"/>
      <c r="OKF28" s="41"/>
      <c r="OKQ28" s="41"/>
      <c r="OLB28" s="41"/>
      <c r="OLM28" s="41"/>
      <c r="OLX28" s="41"/>
      <c r="OMI28" s="41"/>
      <c r="OMT28" s="41"/>
      <c r="ONE28" s="41"/>
      <c r="ONP28" s="41"/>
      <c r="OOA28" s="41"/>
      <c r="OOL28" s="41"/>
      <c r="OOW28" s="41"/>
      <c r="OPH28" s="41"/>
      <c r="OPS28" s="41"/>
      <c r="OQD28" s="41"/>
      <c r="OQO28" s="41"/>
      <c r="OQZ28" s="41"/>
      <c r="ORK28" s="41"/>
      <c r="ORV28" s="41"/>
      <c r="OSG28" s="41"/>
      <c r="OSR28" s="41"/>
      <c r="OTC28" s="41"/>
      <c r="OTN28" s="41"/>
      <c r="OTY28" s="41"/>
      <c r="OUJ28" s="41"/>
      <c r="OUU28" s="41"/>
      <c r="OVF28" s="41"/>
      <c r="OVQ28" s="41"/>
      <c r="OWB28" s="41"/>
      <c r="OWM28" s="41"/>
      <c r="OWX28" s="41"/>
      <c r="OXI28" s="41"/>
      <c r="OXT28" s="41"/>
      <c r="OYE28" s="41"/>
      <c r="OYP28" s="41"/>
      <c r="OZA28" s="41"/>
      <c r="OZL28" s="41"/>
      <c r="OZW28" s="41"/>
      <c r="PAH28" s="41"/>
      <c r="PAS28" s="41"/>
      <c r="PBD28" s="41"/>
      <c r="PBO28" s="41"/>
      <c r="PBZ28" s="41"/>
      <c r="PCK28" s="41"/>
      <c r="PCV28" s="41"/>
      <c r="PDG28" s="41"/>
      <c r="PDR28" s="41"/>
      <c r="PEC28" s="41"/>
      <c r="PEN28" s="41"/>
      <c r="PEY28" s="41"/>
      <c r="PFJ28" s="41"/>
      <c r="PFU28" s="41"/>
      <c r="PGF28" s="41"/>
      <c r="PGQ28" s="41"/>
      <c r="PHB28" s="41"/>
      <c r="PHM28" s="41"/>
      <c r="PHX28" s="41"/>
      <c r="PII28" s="41"/>
      <c r="PIT28" s="41"/>
      <c r="PJE28" s="41"/>
      <c r="PJP28" s="41"/>
      <c r="PKA28" s="41"/>
      <c r="PKL28" s="41"/>
      <c r="PKW28" s="41"/>
      <c r="PLH28" s="41"/>
      <c r="PLS28" s="41"/>
      <c r="PMD28" s="41"/>
      <c r="PMO28" s="41"/>
      <c r="PMZ28" s="41"/>
      <c r="PNK28" s="41"/>
      <c r="PNV28" s="41"/>
      <c r="POG28" s="41"/>
      <c r="POR28" s="41"/>
      <c r="PPC28" s="41"/>
      <c r="PPN28" s="41"/>
      <c r="PPY28" s="41"/>
      <c r="PQJ28" s="41"/>
      <c r="PQU28" s="41"/>
      <c r="PRF28" s="41"/>
      <c r="PRQ28" s="41"/>
      <c r="PSB28" s="41"/>
      <c r="PSM28" s="41"/>
      <c r="PSX28" s="41"/>
      <c r="PTI28" s="41"/>
      <c r="PTT28" s="41"/>
      <c r="PUE28" s="41"/>
      <c r="PUP28" s="41"/>
      <c r="PVA28" s="41"/>
      <c r="PVL28" s="41"/>
      <c r="PVW28" s="41"/>
      <c r="PWH28" s="41"/>
      <c r="PWS28" s="41"/>
      <c r="PXD28" s="41"/>
      <c r="PXO28" s="41"/>
      <c r="PXZ28" s="41"/>
      <c r="PYK28" s="41"/>
      <c r="PYV28" s="41"/>
      <c r="PZG28" s="41"/>
      <c r="PZR28" s="41"/>
      <c r="QAC28" s="41"/>
      <c r="QAN28" s="41"/>
      <c r="QAY28" s="41"/>
      <c r="QBJ28" s="41"/>
      <c r="QBU28" s="41"/>
      <c r="QCF28" s="41"/>
      <c r="QCQ28" s="41"/>
      <c r="QDB28" s="41"/>
      <c r="QDM28" s="41"/>
      <c r="QDX28" s="41"/>
      <c r="QEI28" s="41"/>
      <c r="QET28" s="41"/>
      <c r="QFE28" s="41"/>
      <c r="QFP28" s="41"/>
      <c r="QGA28" s="41"/>
      <c r="QGL28" s="41"/>
      <c r="QGW28" s="41"/>
      <c r="QHH28" s="41"/>
      <c r="QHS28" s="41"/>
      <c r="QID28" s="41"/>
      <c r="QIO28" s="41"/>
      <c r="QIZ28" s="41"/>
      <c r="QJK28" s="41"/>
      <c r="QJV28" s="41"/>
      <c r="QKG28" s="41"/>
      <c r="QKR28" s="41"/>
      <c r="QLC28" s="41"/>
      <c r="QLN28" s="41"/>
      <c r="QLY28" s="41"/>
      <c r="QMJ28" s="41"/>
      <c r="QMU28" s="41"/>
      <c r="QNF28" s="41"/>
      <c r="QNQ28" s="41"/>
      <c r="QOB28" s="41"/>
      <c r="QOM28" s="41"/>
      <c r="QOX28" s="41"/>
      <c r="QPI28" s="41"/>
      <c r="QPT28" s="41"/>
      <c r="QQE28" s="41"/>
      <c r="QQP28" s="41"/>
      <c r="QRA28" s="41"/>
      <c r="QRL28" s="41"/>
      <c r="QRW28" s="41"/>
      <c r="QSH28" s="41"/>
      <c r="QSS28" s="41"/>
      <c r="QTD28" s="41"/>
      <c r="QTO28" s="41"/>
      <c r="QTZ28" s="41"/>
      <c r="QUK28" s="41"/>
      <c r="QUV28" s="41"/>
      <c r="QVG28" s="41"/>
      <c r="QVR28" s="41"/>
      <c r="QWC28" s="41"/>
      <c r="QWN28" s="41"/>
      <c r="QWY28" s="41"/>
      <c r="QXJ28" s="41"/>
      <c r="QXU28" s="41"/>
      <c r="QYF28" s="41"/>
      <c r="QYQ28" s="41"/>
      <c r="QZB28" s="41"/>
      <c r="QZM28" s="41"/>
      <c r="QZX28" s="41"/>
      <c r="RAI28" s="41"/>
      <c r="RAT28" s="41"/>
      <c r="RBE28" s="41"/>
      <c r="RBP28" s="41"/>
      <c r="RCA28" s="41"/>
      <c r="RCL28" s="41"/>
      <c r="RCW28" s="41"/>
      <c r="RDH28" s="41"/>
      <c r="RDS28" s="41"/>
      <c r="RED28" s="41"/>
      <c r="REO28" s="41"/>
      <c r="REZ28" s="41"/>
      <c r="RFK28" s="41"/>
      <c r="RFV28" s="41"/>
      <c r="RGG28" s="41"/>
      <c r="RGR28" s="41"/>
      <c r="RHC28" s="41"/>
      <c r="RHN28" s="41"/>
      <c r="RHY28" s="41"/>
      <c r="RIJ28" s="41"/>
      <c r="RIU28" s="41"/>
      <c r="RJF28" s="41"/>
      <c r="RJQ28" s="41"/>
      <c r="RKB28" s="41"/>
      <c r="RKM28" s="41"/>
      <c r="RKX28" s="41"/>
      <c r="RLI28" s="41"/>
      <c r="RLT28" s="41"/>
      <c r="RME28" s="41"/>
      <c r="RMP28" s="41"/>
      <c r="RNA28" s="41"/>
      <c r="RNL28" s="41"/>
      <c r="RNW28" s="41"/>
      <c r="ROH28" s="41"/>
      <c r="ROS28" s="41"/>
      <c r="RPD28" s="41"/>
      <c r="RPO28" s="41"/>
      <c r="RPZ28" s="41"/>
      <c r="RQK28" s="41"/>
      <c r="RQV28" s="41"/>
      <c r="RRG28" s="41"/>
      <c r="RRR28" s="41"/>
      <c r="RSC28" s="41"/>
      <c r="RSN28" s="41"/>
      <c r="RSY28" s="41"/>
      <c r="RTJ28" s="41"/>
      <c r="RTU28" s="41"/>
      <c r="RUF28" s="41"/>
      <c r="RUQ28" s="41"/>
      <c r="RVB28" s="41"/>
      <c r="RVM28" s="41"/>
      <c r="RVX28" s="41"/>
      <c r="RWI28" s="41"/>
      <c r="RWT28" s="41"/>
      <c r="RXE28" s="41"/>
      <c r="RXP28" s="41"/>
      <c r="RYA28" s="41"/>
      <c r="RYL28" s="41"/>
      <c r="RYW28" s="41"/>
      <c r="RZH28" s="41"/>
      <c r="RZS28" s="41"/>
      <c r="SAD28" s="41"/>
      <c r="SAO28" s="41"/>
      <c r="SAZ28" s="41"/>
      <c r="SBK28" s="41"/>
      <c r="SBV28" s="41"/>
      <c r="SCG28" s="41"/>
      <c r="SCR28" s="41"/>
      <c r="SDC28" s="41"/>
      <c r="SDN28" s="41"/>
      <c r="SDY28" s="41"/>
      <c r="SEJ28" s="41"/>
      <c r="SEU28" s="41"/>
      <c r="SFF28" s="41"/>
      <c r="SFQ28" s="41"/>
      <c r="SGB28" s="41"/>
      <c r="SGM28" s="41"/>
      <c r="SGX28" s="41"/>
      <c r="SHI28" s="41"/>
      <c r="SHT28" s="41"/>
      <c r="SIE28" s="41"/>
      <c r="SIP28" s="41"/>
      <c r="SJA28" s="41"/>
      <c r="SJL28" s="41"/>
      <c r="SJW28" s="41"/>
      <c r="SKH28" s="41"/>
      <c r="SKS28" s="41"/>
      <c r="SLD28" s="41"/>
      <c r="SLO28" s="41"/>
      <c r="SLZ28" s="41"/>
      <c r="SMK28" s="41"/>
      <c r="SMV28" s="41"/>
      <c r="SNG28" s="41"/>
      <c r="SNR28" s="41"/>
      <c r="SOC28" s="41"/>
      <c r="SON28" s="41"/>
      <c r="SOY28" s="41"/>
      <c r="SPJ28" s="41"/>
      <c r="SPU28" s="41"/>
      <c r="SQF28" s="41"/>
      <c r="SQQ28" s="41"/>
      <c r="SRB28" s="41"/>
      <c r="SRM28" s="41"/>
      <c r="SRX28" s="41"/>
      <c r="SSI28" s="41"/>
      <c r="SST28" s="41"/>
      <c r="STE28" s="41"/>
      <c r="STP28" s="41"/>
      <c r="SUA28" s="41"/>
      <c r="SUL28" s="41"/>
      <c r="SUW28" s="41"/>
      <c r="SVH28" s="41"/>
      <c r="SVS28" s="41"/>
      <c r="SWD28" s="41"/>
      <c r="SWO28" s="41"/>
      <c r="SWZ28" s="41"/>
      <c r="SXK28" s="41"/>
      <c r="SXV28" s="41"/>
      <c r="SYG28" s="41"/>
      <c r="SYR28" s="41"/>
      <c r="SZC28" s="41"/>
      <c r="SZN28" s="41"/>
      <c r="SZY28" s="41"/>
      <c r="TAJ28" s="41"/>
      <c r="TAU28" s="41"/>
      <c r="TBF28" s="41"/>
      <c r="TBQ28" s="41"/>
      <c r="TCB28" s="41"/>
      <c r="TCM28" s="41"/>
      <c r="TCX28" s="41"/>
      <c r="TDI28" s="41"/>
      <c r="TDT28" s="41"/>
      <c r="TEE28" s="41"/>
      <c r="TEP28" s="41"/>
      <c r="TFA28" s="41"/>
      <c r="TFL28" s="41"/>
      <c r="TFW28" s="41"/>
      <c r="TGH28" s="41"/>
      <c r="TGS28" s="41"/>
      <c r="THD28" s="41"/>
      <c r="THO28" s="41"/>
      <c r="THZ28" s="41"/>
      <c r="TIK28" s="41"/>
      <c r="TIV28" s="41"/>
      <c r="TJG28" s="41"/>
      <c r="TJR28" s="41"/>
      <c r="TKC28" s="41"/>
      <c r="TKN28" s="41"/>
      <c r="TKY28" s="41"/>
      <c r="TLJ28" s="41"/>
      <c r="TLU28" s="41"/>
      <c r="TMF28" s="41"/>
      <c r="TMQ28" s="41"/>
      <c r="TNB28" s="41"/>
      <c r="TNM28" s="41"/>
      <c r="TNX28" s="41"/>
      <c r="TOI28" s="41"/>
      <c r="TOT28" s="41"/>
      <c r="TPE28" s="41"/>
      <c r="TPP28" s="41"/>
      <c r="TQA28" s="41"/>
      <c r="TQL28" s="41"/>
      <c r="TQW28" s="41"/>
      <c r="TRH28" s="41"/>
      <c r="TRS28" s="41"/>
      <c r="TSD28" s="41"/>
      <c r="TSO28" s="41"/>
      <c r="TSZ28" s="41"/>
      <c r="TTK28" s="41"/>
      <c r="TTV28" s="41"/>
      <c r="TUG28" s="41"/>
      <c r="TUR28" s="41"/>
      <c r="TVC28" s="41"/>
      <c r="TVN28" s="41"/>
      <c r="TVY28" s="41"/>
      <c r="TWJ28" s="41"/>
      <c r="TWU28" s="41"/>
      <c r="TXF28" s="41"/>
      <c r="TXQ28" s="41"/>
      <c r="TYB28" s="41"/>
      <c r="TYM28" s="41"/>
      <c r="TYX28" s="41"/>
      <c r="TZI28" s="41"/>
      <c r="TZT28" s="41"/>
      <c r="UAE28" s="41"/>
      <c r="UAP28" s="41"/>
      <c r="UBA28" s="41"/>
      <c r="UBL28" s="41"/>
      <c r="UBW28" s="41"/>
      <c r="UCH28" s="41"/>
      <c r="UCS28" s="41"/>
      <c r="UDD28" s="41"/>
      <c r="UDO28" s="41"/>
      <c r="UDZ28" s="41"/>
      <c r="UEK28" s="41"/>
      <c r="UEV28" s="41"/>
      <c r="UFG28" s="41"/>
      <c r="UFR28" s="41"/>
      <c r="UGC28" s="41"/>
      <c r="UGN28" s="41"/>
      <c r="UGY28" s="41"/>
      <c r="UHJ28" s="41"/>
      <c r="UHU28" s="41"/>
      <c r="UIF28" s="41"/>
      <c r="UIQ28" s="41"/>
      <c r="UJB28" s="41"/>
      <c r="UJM28" s="41"/>
      <c r="UJX28" s="41"/>
      <c r="UKI28" s="41"/>
      <c r="UKT28" s="41"/>
      <c r="ULE28" s="41"/>
      <c r="ULP28" s="41"/>
      <c r="UMA28" s="41"/>
      <c r="UML28" s="41"/>
      <c r="UMW28" s="41"/>
      <c r="UNH28" s="41"/>
      <c r="UNS28" s="41"/>
      <c r="UOD28" s="41"/>
      <c r="UOO28" s="41"/>
      <c r="UOZ28" s="41"/>
      <c r="UPK28" s="41"/>
      <c r="UPV28" s="41"/>
      <c r="UQG28" s="41"/>
      <c r="UQR28" s="41"/>
      <c r="URC28" s="41"/>
      <c r="URN28" s="41"/>
      <c r="URY28" s="41"/>
      <c r="USJ28" s="41"/>
      <c r="USU28" s="41"/>
      <c r="UTF28" s="41"/>
      <c r="UTQ28" s="41"/>
      <c r="UUB28" s="41"/>
      <c r="UUM28" s="41"/>
      <c r="UUX28" s="41"/>
      <c r="UVI28" s="41"/>
      <c r="UVT28" s="41"/>
      <c r="UWE28" s="41"/>
      <c r="UWP28" s="41"/>
      <c r="UXA28" s="41"/>
      <c r="UXL28" s="41"/>
      <c r="UXW28" s="41"/>
      <c r="UYH28" s="41"/>
      <c r="UYS28" s="41"/>
      <c r="UZD28" s="41"/>
      <c r="UZO28" s="41"/>
      <c r="UZZ28" s="41"/>
      <c r="VAK28" s="41"/>
      <c r="VAV28" s="41"/>
      <c r="VBG28" s="41"/>
      <c r="VBR28" s="41"/>
      <c r="VCC28" s="41"/>
      <c r="VCN28" s="41"/>
      <c r="VCY28" s="41"/>
      <c r="VDJ28" s="41"/>
      <c r="VDU28" s="41"/>
      <c r="VEF28" s="41"/>
      <c r="VEQ28" s="41"/>
      <c r="VFB28" s="41"/>
      <c r="VFM28" s="41"/>
      <c r="VFX28" s="41"/>
      <c r="VGI28" s="41"/>
      <c r="VGT28" s="41"/>
      <c r="VHE28" s="41"/>
      <c r="VHP28" s="41"/>
      <c r="VIA28" s="41"/>
      <c r="VIL28" s="41"/>
      <c r="VIW28" s="41"/>
      <c r="VJH28" s="41"/>
      <c r="VJS28" s="41"/>
      <c r="VKD28" s="41"/>
      <c r="VKO28" s="41"/>
      <c r="VKZ28" s="41"/>
      <c r="VLK28" s="41"/>
      <c r="VLV28" s="41"/>
      <c r="VMG28" s="41"/>
      <c r="VMR28" s="41"/>
      <c r="VNC28" s="41"/>
      <c r="VNN28" s="41"/>
      <c r="VNY28" s="41"/>
      <c r="VOJ28" s="41"/>
      <c r="VOU28" s="41"/>
      <c r="VPF28" s="41"/>
      <c r="VPQ28" s="41"/>
      <c r="VQB28" s="41"/>
      <c r="VQM28" s="41"/>
      <c r="VQX28" s="41"/>
      <c r="VRI28" s="41"/>
      <c r="VRT28" s="41"/>
      <c r="VSE28" s="41"/>
      <c r="VSP28" s="41"/>
      <c r="VTA28" s="41"/>
      <c r="VTL28" s="41"/>
      <c r="VTW28" s="41"/>
      <c r="VUH28" s="41"/>
      <c r="VUS28" s="41"/>
      <c r="VVD28" s="41"/>
      <c r="VVO28" s="41"/>
      <c r="VVZ28" s="41"/>
      <c r="VWK28" s="41"/>
      <c r="VWV28" s="41"/>
      <c r="VXG28" s="41"/>
      <c r="VXR28" s="41"/>
      <c r="VYC28" s="41"/>
      <c r="VYN28" s="41"/>
      <c r="VYY28" s="41"/>
      <c r="VZJ28" s="41"/>
      <c r="VZU28" s="41"/>
      <c r="WAF28" s="41"/>
      <c r="WAQ28" s="41"/>
      <c r="WBB28" s="41"/>
      <c r="WBM28" s="41"/>
      <c r="WBX28" s="41"/>
      <c r="WCI28" s="41"/>
      <c r="WCT28" s="41"/>
      <c r="WDE28" s="41"/>
      <c r="WDP28" s="41"/>
      <c r="WEA28" s="41"/>
      <c r="WEL28" s="41"/>
      <c r="WEW28" s="41"/>
      <c r="WFH28" s="41"/>
      <c r="WFS28" s="41"/>
      <c r="WGD28" s="41"/>
      <c r="WGO28" s="41"/>
      <c r="WGZ28" s="41"/>
      <c r="WHK28" s="41"/>
      <c r="WHV28" s="41"/>
      <c r="WIG28" s="41"/>
      <c r="WIR28" s="41"/>
      <c r="WJC28" s="41"/>
      <c r="WJN28" s="41"/>
      <c r="WJY28" s="41"/>
      <c r="WKJ28" s="41"/>
      <c r="WKU28" s="41"/>
      <c r="WLF28" s="41"/>
      <c r="WLQ28" s="41"/>
      <c r="WMB28" s="41"/>
      <c r="WMM28" s="41"/>
      <c r="WMX28" s="41"/>
      <c r="WNI28" s="41"/>
      <c r="WNT28" s="41"/>
      <c r="WOE28" s="41"/>
      <c r="WOP28" s="41"/>
      <c r="WPA28" s="41"/>
      <c r="WPL28" s="41"/>
      <c r="WPW28" s="41"/>
      <c r="WQH28" s="41"/>
      <c r="WQS28" s="41"/>
      <c r="WRD28" s="41"/>
      <c r="WRO28" s="41"/>
      <c r="WRZ28" s="41"/>
      <c r="WSK28" s="41"/>
      <c r="WSV28" s="41"/>
      <c r="WTG28" s="41"/>
      <c r="WTR28" s="41"/>
      <c r="WUC28" s="41"/>
      <c r="WUN28" s="41"/>
      <c r="WUY28" s="41"/>
      <c r="WVJ28" s="41"/>
      <c r="WVU28" s="41"/>
      <c r="WWF28" s="41"/>
      <c r="WWQ28" s="41"/>
      <c r="WXB28" s="41"/>
      <c r="WXM28" s="41"/>
      <c r="WXX28" s="41"/>
      <c r="WYI28" s="41"/>
      <c r="WYT28" s="41"/>
      <c r="WZE28" s="41"/>
      <c r="WZP28" s="41"/>
      <c r="XAA28" s="41"/>
      <c r="XAL28" s="41"/>
      <c r="XAW28" s="41"/>
      <c r="XBH28" s="41"/>
      <c r="XBS28" s="41"/>
      <c r="XCD28" s="41"/>
      <c r="XCO28" s="41"/>
      <c r="XCZ28" s="41"/>
      <c r="XDK28" s="41"/>
      <c r="XDV28" s="41"/>
      <c r="XEG28" s="41"/>
      <c r="XER28" s="41"/>
      <c r="XFC28" s="41"/>
    </row>
    <row r="29" spans="1:1016 1027:2039 2050:3062 3073:4096 4107:5119 5130:6142 6153:7165 7176:8188 8199:9211 9222:10234 10245:11257 11268:12280 12291:13303 13314:14326 14337:15360 15371:16383" s="40" customFormat="1" ht="13.2" customHeight="1">
      <c r="D29" s="131"/>
      <c r="F29" s="41"/>
      <c r="G29" s="42"/>
      <c r="H29" s="42"/>
      <c r="I29" s="42"/>
      <c r="P29" s="221"/>
      <c r="Q29" s="221"/>
      <c r="R29" s="221"/>
      <c r="S29" s="221"/>
      <c r="T29" s="221"/>
      <c r="U29" s="204"/>
      <c r="V29" s="204"/>
      <c r="W29" s="204"/>
      <c r="X29" s="204"/>
      <c r="Y29" s="204"/>
      <c r="Z29" s="204"/>
      <c r="AA29" s="40" t="s">
        <v>239</v>
      </c>
      <c r="AK29" s="41"/>
      <c r="AV29" s="41"/>
      <c r="BG29" s="41"/>
      <c r="BR29" s="41"/>
      <c r="CC29" s="41"/>
      <c r="CN29" s="41"/>
      <c r="CY29" s="41"/>
      <c r="DJ29" s="41"/>
      <c r="DU29" s="41"/>
      <c r="EF29" s="41"/>
      <c r="EQ29" s="41"/>
      <c r="FB29" s="41"/>
      <c r="FM29" s="41"/>
      <c r="FX29" s="41"/>
      <c r="GI29" s="41"/>
      <c r="GT29" s="41"/>
      <c r="HE29" s="41"/>
      <c r="HP29" s="41"/>
      <c r="IA29" s="41"/>
      <c r="IL29" s="41"/>
      <c r="IW29" s="41"/>
      <c r="JH29" s="41"/>
      <c r="JS29" s="41"/>
      <c r="KD29" s="41"/>
      <c r="KO29" s="41"/>
      <c r="KZ29" s="41"/>
      <c r="LK29" s="41"/>
      <c r="LV29" s="41"/>
      <c r="MG29" s="41"/>
      <c r="MR29" s="41"/>
      <c r="NC29" s="41"/>
      <c r="NN29" s="41"/>
      <c r="NY29" s="41"/>
      <c r="OJ29" s="41"/>
      <c r="OU29" s="41"/>
      <c r="PF29" s="41"/>
      <c r="PQ29" s="41"/>
      <c r="QB29" s="41"/>
      <c r="QM29" s="41"/>
      <c r="QX29" s="41"/>
      <c r="RI29" s="41"/>
      <c r="RT29" s="41"/>
      <c r="SE29" s="41"/>
      <c r="SP29" s="41"/>
      <c r="TA29" s="41"/>
      <c r="TL29" s="41"/>
      <c r="TW29" s="41"/>
      <c r="UH29" s="41"/>
      <c r="US29" s="41"/>
      <c r="VD29" s="41"/>
      <c r="VO29" s="41"/>
      <c r="VZ29" s="41"/>
      <c r="WK29" s="41"/>
      <c r="WV29" s="41"/>
      <c r="XG29" s="41"/>
      <c r="XR29" s="41"/>
      <c r="YC29" s="41"/>
      <c r="YN29" s="41"/>
      <c r="YY29" s="41"/>
      <c r="ZJ29" s="41"/>
      <c r="ZU29" s="41"/>
      <c r="AAF29" s="41"/>
      <c r="AAQ29" s="41"/>
      <c r="ABB29" s="41"/>
      <c r="ABM29" s="41"/>
      <c r="ABX29" s="41"/>
      <c r="ACI29" s="41"/>
      <c r="ACT29" s="41"/>
      <c r="ADE29" s="41"/>
      <c r="ADP29" s="41"/>
      <c r="AEA29" s="41"/>
      <c r="AEL29" s="41"/>
      <c r="AEW29" s="41"/>
      <c r="AFH29" s="41"/>
      <c r="AFS29" s="41"/>
      <c r="AGD29" s="41"/>
      <c r="AGO29" s="41"/>
      <c r="AGZ29" s="41"/>
      <c r="AHK29" s="41"/>
      <c r="AHV29" s="41"/>
      <c r="AIG29" s="41"/>
      <c r="AIR29" s="41"/>
      <c r="AJC29" s="41"/>
      <c r="AJN29" s="41"/>
      <c r="AJY29" s="41"/>
      <c r="AKJ29" s="41"/>
      <c r="AKU29" s="41"/>
      <c r="ALF29" s="41"/>
      <c r="ALQ29" s="41"/>
      <c r="AMB29" s="41"/>
      <c r="AMM29" s="41"/>
      <c r="AMX29" s="41"/>
      <c r="ANI29" s="41"/>
      <c r="ANT29" s="41"/>
      <c r="AOE29" s="41"/>
      <c r="AOP29" s="41"/>
      <c r="APA29" s="41"/>
      <c r="APL29" s="41"/>
      <c r="APW29" s="41"/>
      <c r="AQH29" s="41"/>
      <c r="AQS29" s="41"/>
      <c r="ARD29" s="41"/>
      <c r="ARO29" s="41"/>
      <c r="ARZ29" s="41"/>
      <c r="ASK29" s="41"/>
      <c r="ASV29" s="41"/>
      <c r="ATG29" s="41"/>
      <c r="ATR29" s="41"/>
      <c r="AUC29" s="41"/>
      <c r="AUN29" s="41"/>
      <c r="AUY29" s="41"/>
      <c r="AVJ29" s="41"/>
      <c r="AVU29" s="41"/>
      <c r="AWF29" s="41"/>
      <c r="AWQ29" s="41"/>
      <c r="AXB29" s="41"/>
      <c r="AXM29" s="41"/>
      <c r="AXX29" s="41"/>
      <c r="AYI29" s="41"/>
      <c r="AYT29" s="41"/>
      <c r="AZE29" s="41"/>
      <c r="AZP29" s="41"/>
      <c r="BAA29" s="41"/>
      <c r="BAL29" s="41"/>
      <c r="BAW29" s="41"/>
      <c r="BBH29" s="41"/>
      <c r="BBS29" s="41"/>
      <c r="BCD29" s="41"/>
      <c r="BCO29" s="41"/>
      <c r="BCZ29" s="41"/>
      <c r="BDK29" s="41"/>
      <c r="BDV29" s="41"/>
      <c r="BEG29" s="41"/>
      <c r="BER29" s="41"/>
      <c r="BFC29" s="41"/>
      <c r="BFN29" s="41"/>
      <c r="BFY29" s="41"/>
      <c r="BGJ29" s="41"/>
      <c r="BGU29" s="41"/>
      <c r="BHF29" s="41"/>
      <c r="BHQ29" s="41"/>
      <c r="BIB29" s="41"/>
      <c r="BIM29" s="41"/>
      <c r="BIX29" s="41"/>
      <c r="BJI29" s="41"/>
      <c r="BJT29" s="41"/>
      <c r="BKE29" s="41"/>
      <c r="BKP29" s="41"/>
      <c r="BLA29" s="41"/>
      <c r="BLL29" s="41"/>
      <c r="BLW29" s="41"/>
      <c r="BMH29" s="41"/>
      <c r="BMS29" s="41"/>
      <c r="BND29" s="41"/>
      <c r="BNO29" s="41"/>
      <c r="BNZ29" s="41"/>
      <c r="BOK29" s="41"/>
      <c r="BOV29" s="41"/>
      <c r="BPG29" s="41"/>
      <c r="BPR29" s="41"/>
      <c r="BQC29" s="41"/>
      <c r="BQN29" s="41"/>
      <c r="BQY29" s="41"/>
      <c r="BRJ29" s="41"/>
      <c r="BRU29" s="41"/>
      <c r="BSF29" s="41"/>
      <c r="BSQ29" s="41"/>
      <c r="BTB29" s="41"/>
      <c r="BTM29" s="41"/>
      <c r="BTX29" s="41"/>
      <c r="BUI29" s="41"/>
      <c r="BUT29" s="41"/>
      <c r="BVE29" s="41"/>
      <c r="BVP29" s="41"/>
      <c r="BWA29" s="41"/>
      <c r="BWL29" s="41"/>
      <c r="BWW29" s="41"/>
      <c r="BXH29" s="41"/>
      <c r="BXS29" s="41"/>
      <c r="BYD29" s="41"/>
      <c r="BYO29" s="41"/>
      <c r="BYZ29" s="41"/>
      <c r="BZK29" s="41"/>
      <c r="BZV29" s="41"/>
      <c r="CAG29" s="41"/>
      <c r="CAR29" s="41"/>
      <c r="CBC29" s="41"/>
      <c r="CBN29" s="41"/>
      <c r="CBY29" s="41"/>
      <c r="CCJ29" s="41"/>
      <c r="CCU29" s="41"/>
      <c r="CDF29" s="41"/>
      <c r="CDQ29" s="41"/>
      <c r="CEB29" s="41"/>
      <c r="CEM29" s="41"/>
      <c r="CEX29" s="41"/>
      <c r="CFI29" s="41"/>
      <c r="CFT29" s="41"/>
      <c r="CGE29" s="41"/>
      <c r="CGP29" s="41"/>
      <c r="CHA29" s="41"/>
      <c r="CHL29" s="41"/>
      <c r="CHW29" s="41"/>
      <c r="CIH29" s="41"/>
      <c r="CIS29" s="41"/>
      <c r="CJD29" s="41"/>
      <c r="CJO29" s="41"/>
      <c r="CJZ29" s="41"/>
      <c r="CKK29" s="41"/>
      <c r="CKV29" s="41"/>
      <c r="CLG29" s="41"/>
      <c r="CLR29" s="41"/>
      <c r="CMC29" s="41"/>
      <c r="CMN29" s="41"/>
      <c r="CMY29" s="41"/>
      <c r="CNJ29" s="41"/>
      <c r="CNU29" s="41"/>
      <c r="COF29" s="41"/>
      <c r="COQ29" s="41"/>
      <c r="CPB29" s="41"/>
      <c r="CPM29" s="41"/>
      <c r="CPX29" s="41"/>
      <c r="CQI29" s="41"/>
      <c r="CQT29" s="41"/>
      <c r="CRE29" s="41"/>
      <c r="CRP29" s="41"/>
      <c r="CSA29" s="41"/>
      <c r="CSL29" s="41"/>
      <c r="CSW29" s="41"/>
      <c r="CTH29" s="41"/>
      <c r="CTS29" s="41"/>
      <c r="CUD29" s="41"/>
      <c r="CUO29" s="41"/>
      <c r="CUZ29" s="41"/>
      <c r="CVK29" s="41"/>
      <c r="CVV29" s="41"/>
      <c r="CWG29" s="41"/>
      <c r="CWR29" s="41"/>
      <c r="CXC29" s="41"/>
      <c r="CXN29" s="41"/>
      <c r="CXY29" s="41"/>
      <c r="CYJ29" s="41"/>
      <c r="CYU29" s="41"/>
      <c r="CZF29" s="41"/>
      <c r="CZQ29" s="41"/>
      <c r="DAB29" s="41"/>
      <c r="DAM29" s="41"/>
      <c r="DAX29" s="41"/>
      <c r="DBI29" s="41"/>
      <c r="DBT29" s="41"/>
      <c r="DCE29" s="41"/>
      <c r="DCP29" s="41"/>
      <c r="DDA29" s="41"/>
      <c r="DDL29" s="41"/>
      <c r="DDW29" s="41"/>
      <c r="DEH29" s="41"/>
      <c r="DES29" s="41"/>
      <c r="DFD29" s="41"/>
      <c r="DFO29" s="41"/>
      <c r="DFZ29" s="41"/>
      <c r="DGK29" s="41"/>
      <c r="DGV29" s="41"/>
      <c r="DHG29" s="41"/>
      <c r="DHR29" s="41"/>
      <c r="DIC29" s="41"/>
      <c r="DIN29" s="41"/>
      <c r="DIY29" s="41"/>
      <c r="DJJ29" s="41"/>
      <c r="DJU29" s="41"/>
      <c r="DKF29" s="41"/>
      <c r="DKQ29" s="41"/>
      <c r="DLB29" s="41"/>
      <c r="DLM29" s="41"/>
      <c r="DLX29" s="41"/>
      <c r="DMI29" s="41"/>
      <c r="DMT29" s="41"/>
      <c r="DNE29" s="41"/>
      <c r="DNP29" s="41"/>
      <c r="DOA29" s="41"/>
      <c r="DOL29" s="41"/>
      <c r="DOW29" s="41"/>
      <c r="DPH29" s="41"/>
      <c r="DPS29" s="41"/>
      <c r="DQD29" s="41"/>
      <c r="DQO29" s="41"/>
      <c r="DQZ29" s="41"/>
      <c r="DRK29" s="41"/>
      <c r="DRV29" s="41"/>
      <c r="DSG29" s="41"/>
      <c r="DSR29" s="41"/>
      <c r="DTC29" s="41"/>
      <c r="DTN29" s="41"/>
      <c r="DTY29" s="41"/>
      <c r="DUJ29" s="41"/>
      <c r="DUU29" s="41"/>
      <c r="DVF29" s="41"/>
      <c r="DVQ29" s="41"/>
      <c r="DWB29" s="41"/>
      <c r="DWM29" s="41"/>
      <c r="DWX29" s="41"/>
      <c r="DXI29" s="41"/>
      <c r="DXT29" s="41"/>
      <c r="DYE29" s="41"/>
      <c r="DYP29" s="41"/>
      <c r="DZA29" s="41"/>
      <c r="DZL29" s="41"/>
      <c r="DZW29" s="41"/>
      <c r="EAH29" s="41"/>
      <c r="EAS29" s="41"/>
      <c r="EBD29" s="41"/>
      <c r="EBO29" s="41"/>
      <c r="EBZ29" s="41"/>
      <c r="ECK29" s="41"/>
      <c r="ECV29" s="41"/>
      <c r="EDG29" s="41"/>
      <c r="EDR29" s="41"/>
      <c r="EEC29" s="41"/>
      <c r="EEN29" s="41"/>
      <c r="EEY29" s="41"/>
      <c r="EFJ29" s="41"/>
      <c r="EFU29" s="41"/>
      <c r="EGF29" s="41"/>
      <c r="EGQ29" s="41"/>
      <c r="EHB29" s="41"/>
      <c r="EHM29" s="41"/>
      <c r="EHX29" s="41"/>
      <c r="EII29" s="41"/>
      <c r="EIT29" s="41"/>
      <c r="EJE29" s="41"/>
      <c r="EJP29" s="41"/>
      <c r="EKA29" s="41"/>
      <c r="EKL29" s="41"/>
      <c r="EKW29" s="41"/>
      <c r="ELH29" s="41"/>
      <c r="ELS29" s="41"/>
      <c r="EMD29" s="41"/>
      <c r="EMO29" s="41"/>
      <c r="EMZ29" s="41"/>
      <c r="ENK29" s="41"/>
      <c r="ENV29" s="41"/>
      <c r="EOG29" s="41"/>
      <c r="EOR29" s="41"/>
      <c r="EPC29" s="41"/>
      <c r="EPN29" s="41"/>
      <c r="EPY29" s="41"/>
      <c r="EQJ29" s="41"/>
      <c r="EQU29" s="41"/>
      <c r="ERF29" s="41"/>
      <c r="ERQ29" s="41"/>
      <c r="ESB29" s="41"/>
      <c r="ESM29" s="41"/>
      <c r="ESX29" s="41"/>
      <c r="ETI29" s="41"/>
      <c r="ETT29" s="41"/>
      <c r="EUE29" s="41"/>
      <c r="EUP29" s="41"/>
      <c r="EVA29" s="41"/>
      <c r="EVL29" s="41"/>
      <c r="EVW29" s="41"/>
      <c r="EWH29" s="41"/>
      <c r="EWS29" s="41"/>
      <c r="EXD29" s="41"/>
      <c r="EXO29" s="41"/>
      <c r="EXZ29" s="41"/>
      <c r="EYK29" s="41"/>
      <c r="EYV29" s="41"/>
      <c r="EZG29" s="41"/>
      <c r="EZR29" s="41"/>
      <c r="FAC29" s="41"/>
      <c r="FAN29" s="41"/>
      <c r="FAY29" s="41"/>
      <c r="FBJ29" s="41"/>
      <c r="FBU29" s="41"/>
      <c r="FCF29" s="41"/>
      <c r="FCQ29" s="41"/>
      <c r="FDB29" s="41"/>
      <c r="FDM29" s="41"/>
      <c r="FDX29" s="41"/>
      <c r="FEI29" s="41"/>
      <c r="FET29" s="41"/>
      <c r="FFE29" s="41"/>
      <c r="FFP29" s="41"/>
      <c r="FGA29" s="41"/>
      <c r="FGL29" s="41"/>
      <c r="FGW29" s="41"/>
      <c r="FHH29" s="41"/>
      <c r="FHS29" s="41"/>
      <c r="FID29" s="41"/>
      <c r="FIO29" s="41"/>
      <c r="FIZ29" s="41"/>
      <c r="FJK29" s="41"/>
      <c r="FJV29" s="41"/>
      <c r="FKG29" s="41"/>
      <c r="FKR29" s="41"/>
      <c r="FLC29" s="41"/>
      <c r="FLN29" s="41"/>
      <c r="FLY29" s="41"/>
      <c r="FMJ29" s="41"/>
      <c r="FMU29" s="41"/>
      <c r="FNF29" s="41"/>
      <c r="FNQ29" s="41"/>
      <c r="FOB29" s="41"/>
      <c r="FOM29" s="41"/>
      <c r="FOX29" s="41"/>
      <c r="FPI29" s="41"/>
      <c r="FPT29" s="41"/>
      <c r="FQE29" s="41"/>
      <c r="FQP29" s="41"/>
      <c r="FRA29" s="41"/>
      <c r="FRL29" s="41"/>
      <c r="FRW29" s="41"/>
      <c r="FSH29" s="41"/>
      <c r="FSS29" s="41"/>
      <c r="FTD29" s="41"/>
      <c r="FTO29" s="41"/>
      <c r="FTZ29" s="41"/>
      <c r="FUK29" s="41"/>
      <c r="FUV29" s="41"/>
      <c r="FVG29" s="41"/>
      <c r="FVR29" s="41"/>
      <c r="FWC29" s="41"/>
      <c r="FWN29" s="41"/>
      <c r="FWY29" s="41"/>
      <c r="FXJ29" s="41"/>
      <c r="FXU29" s="41"/>
      <c r="FYF29" s="41"/>
      <c r="FYQ29" s="41"/>
      <c r="FZB29" s="41"/>
      <c r="FZM29" s="41"/>
      <c r="FZX29" s="41"/>
      <c r="GAI29" s="41"/>
      <c r="GAT29" s="41"/>
      <c r="GBE29" s="41"/>
      <c r="GBP29" s="41"/>
      <c r="GCA29" s="41"/>
      <c r="GCL29" s="41"/>
      <c r="GCW29" s="41"/>
      <c r="GDH29" s="41"/>
      <c r="GDS29" s="41"/>
      <c r="GED29" s="41"/>
      <c r="GEO29" s="41"/>
      <c r="GEZ29" s="41"/>
      <c r="GFK29" s="41"/>
      <c r="GFV29" s="41"/>
      <c r="GGG29" s="41"/>
      <c r="GGR29" s="41"/>
      <c r="GHC29" s="41"/>
      <c r="GHN29" s="41"/>
      <c r="GHY29" s="41"/>
      <c r="GIJ29" s="41"/>
      <c r="GIU29" s="41"/>
      <c r="GJF29" s="41"/>
      <c r="GJQ29" s="41"/>
      <c r="GKB29" s="41"/>
      <c r="GKM29" s="41"/>
      <c r="GKX29" s="41"/>
      <c r="GLI29" s="41"/>
      <c r="GLT29" s="41"/>
      <c r="GME29" s="41"/>
      <c r="GMP29" s="41"/>
      <c r="GNA29" s="41"/>
      <c r="GNL29" s="41"/>
      <c r="GNW29" s="41"/>
      <c r="GOH29" s="41"/>
      <c r="GOS29" s="41"/>
      <c r="GPD29" s="41"/>
      <c r="GPO29" s="41"/>
      <c r="GPZ29" s="41"/>
      <c r="GQK29" s="41"/>
      <c r="GQV29" s="41"/>
      <c r="GRG29" s="41"/>
      <c r="GRR29" s="41"/>
      <c r="GSC29" s="41"/>
      <c r="GSN29" s="41"/>
      <c r="GSY29" s="41"/>
      <c r="GTJ29" s="41"/>
      <c r="GTU29" s="41"/>
      <c r="GUF29" s="41"/>
      <c r="GUQ29" s="41"/>
      <c r="GVB29" s="41"/>
      <c r="GVM29" s="41"/>
      <c r="GVX29" s="41"/>
      <c r="GWI29" s="41"/>
      <c r="GWT29" s="41"/>
      <c r="GXE29" s="41"/>
      <c r="GXP29" s="41"/>
      <c r="GYA29" s="41"/>
      <c r="GYL29" s="41"/>
      <c r="GYW29" s="41"/>
      <c r="GZH29" s="41"/>
      <c r="GZS29" s="41"/>
      <c r="HAD29" s="41"/>
      <c r="HAO29" s="41"/>
      <c r="HAZ29" s="41"/>
      <c r="HBK29" s="41"/>
      <c r="HBV29" s="41"/>
      <c r="HCG29" s="41"/>
      <c r="HCR29" s="41"/>
      <c r="HDC29" s="41"/>
      <c r="HDN29" s="41"/>
      <c r="HDY29" s="41"/>
      <c r="HEJ29" s="41"/>
      <c r="HEU29" s="41"/>
      <c r="HFF29" s="41"/>
      <c r="HFQ29" s="41"/>
      <c r="HGB29" s="41"/>
      <c r="HGM29" s="41"/>
      <c r="HGX29" s="41"/>
      <c r="HHI29" s="41"/>
      <c r="HHT29" s="41"/>
      <c r="HIE29" s="41"/>
      <c r="HIP29" s="41"/>
      <c r="HJA29" s="41"/>
      <c r="HJL29" s="41"/>
      <c r="HJW29" s="41"/>
      <c r="HKH29" s="41"/>
      <c r="HKS29" s="41"/>
      <c r="HLD29" s="41"/>
      <c r="HLO29" s="41"/>
      <c r="HLZ29" s="41"/>
      <c r="HMK29" s="41"/>
      <c r="HMV29" s="41"/>
      <c r="HNG29" s="41"/>
      <c r="HNR29" s="41"/>
      <c r="HOC29" s="41"/>
      <c r="HON29" s="41"/>
      <c r="HOY29" s="41"/>
      <c r="HPJ29" s="41"/>
      <c r="HPU29" s="41"/>
      <c r="HQF29" s="41"/>
      <c r="HQQ29" s="41"/>
      <c r="HRB29" s="41"/>
      <c r="HRM29" s="41"/>
      <c r="HRX29" s="41"/>
      <c r="HSI29" s="41"/>
      <c r="HST29" s="41"/>
      <c r="HTE29" s="41"/>
      <c r="HTP29" s="41"/>
      <c r="HUA29" s="41"/>
      <c r="HUL29" s="41"/>
      <c r="HUW29" s="41"/>
      <c r="HVH29" s="41"/>
      <c r="HVS29" s="41"/>
      <c r="HWD29" s="41"/>
      <c r="HWO29" s="41"/>
      <c r="HWZ29" s="41"/>
      <c r="HXK29" s="41"/>
      <c r="HXV29" s="41"/>
      <c r="HYG29" s="41"/>
      <c r="HYR29" s="41"/>
      <c r="HZC29" s="41"/>
      <c r="HZN29" s="41"/>
      <c r="HZY29" s="41"/>
      <c r="IAJ29" s="41"/>
      <c r="IAU29" s="41"/>
      <c r="IBF29" s="41"/>
      <c r="IBQ29" s="41"/>
      <c r="ICB29" s="41"/>
      <c r="ICM29" s="41"/>
      <c r="ICX29" s="41"/>
      <c r="IDI29" s="41"/>
      <c r="IDT29" s="41"/>
      <c r="IEE29" s="41"/>
      <c r="IEP29" s="41"/>
      <c r="IFA29" s="41"/>
      <c r="IFL29" s="41"/>
      <c r="IFW29" s="41"/>
      <c r="IGH29" s="41"/>
      <c r="IGS29" s="41"/>
      <c r="IHD29" s="41"/>
      <c r="IHO29" s="41"/>
      <c r="IHZ29" s="41"/>
      <c r="IIK29" s="41"/>
      <c r="IIV29" s="41"/>
      <c r="IJG29" s="41"/>
      <c r="IJR29" s="41"/>
      <c r="IKC29" s="41"/>
      <c r="IKN29" s="41"/>
      <c r="IKY29" s="41"/>
      <c r="ILJ29" s="41"/>
      <c r="ILU29" s="41"/>
      <c r="IMF29" s="41"/>
      <c r="IMQ29" s="41"/>
      <c r="INB29" s="41"/>
      <c r="INM29" s="41"/>
      <c r="INX29" s="41"/>
      <c r="IOI29" s="41"/>
      <c r="IOT29" s="41"/>
      <c r="IPE29" s="41"/>
      <c r="IPP29" s="41"/>
      <c r="IQA29" s="41"/>
      <c r="IQL29" s="41"/>
      <c r="IQW29" s="41"/>
      <c r="IRH29" s="41"/>
      <c r="IRS29" s="41"/>
      <c r="ISD29" s="41"/>
      <c r="ISO29" s="41"/>
      <c r="ISZ29" s="41"/>
      <c r="ITK29" s="41"/>
      <c r="ITV29" s="41"/>
      <c r="IUG29" s="41"/>
      <c r="IUR29" s="41"/>
      <c r="IVC29" s="41"/>
      <c r="IVN29" s="41"/>
      <c r="IVY29" s="41"/>
      <c r="IWJ29" s="41"/>
      <c r="IWU29" s="41"/>
      <c r="IXF29" s="41"/>
      <c r="IXQ29" s="41"/>
      <c r="IYB29" s="41"/>
      <c r="IYM29" s="41"/>
      <c r="IYX29" s="41"/>
      <c r="IZI29" s="41"/>
      <c r="IZT29" s="41"/>
      <c r="JAE29" s="41"/>
      <c r="JAP29" s="41"/>
      <c r="JBA29" s="41"/>
      <c r="JBL29" s="41"/>
      <c r="JBW29" s="41"/>
      <c r="JCH29" s="41"/>
      <c r="JCS29" s="41"/>
      <c r="JDD29" s="41"/>
      <c r="JDO29" s="41"/>
      <c r="JDZ29" s="41"/>
      <c r="JEK29" s="41"/>
      <c r="JEV29" s="41"/>
      <c r="JFG29" s="41"/>
      <c r="JFR29" s="41"/>
      <c r="JGC29" s="41"/>
      <c r="JGN29" s="41"/>
      <c r="JGY29" s="41"/>
      <c r="JHJ29" s="41"/>
      <c r="JHU29" s="41"/>
      <c r="JIF29" s="41"/>
      <c r="JIQ29" s="41"/>
      <c r="JJB29" s="41"/>
      <c r="JJM29" s="41"/>
      <c r="JJX29" s="41"/>
      <c r="JKI29" s="41"/>
      <c r="JKT29" s="41"/>
      <c r="JLE29" s="41"/>
      <c r="JLP29" s="41"/>
      <c r="JMA29" s="41"/>
      <c r="JML29" s="41"/>
      <c r="JMW29" s="41"/>
      <c r="JNH29" s="41"/>
      <c r="JNS29" s="41"/>
      <c r="JOD29" s="41"/>
      <c r="JOO29" s="41"/>
      <c r="JOZ29" s="41"/>
      <c r="JPK29" s="41"/>
      <c r="JPV29" s="41"/>
      <c r="JQG29" s="41"/>
      <c r="JQR29" s="41"/>
      <c r="JRC29" s="41"/>
      <c r="JRN29" s="41"/>
      <c r="JRY29" s="41"/>
      <c r="JSJ29" s="41"/>
      <c r="JSU29" s="41"/>
      <c r="JTF29" s="41"/>
      <c r="JTQ29" s="41"/>
      <c r="JUB29" s="41"/>
      <c r="JUM29" s="41"/>
      <c r="JUX29" s="41"/>
      <c r="JVI29" s="41"/>
      <c r="JVT29" s="41"/>
      <c r="JWE29" s="41"/>
      <c r="JWP29" s="41"/>
      <c r="JXA29" s="41"/>
      <c r="JXL29" s="41"/>
      <c r="JXW29" s="41"/>
      <c r="JYH29" s="41"/>
      <c r="JYS29" s="41"/>
      <c r="JZD29" s="41"/>
      <c r="JZO29" s="41"/>
      <c r="JZZ29" s="41"/>
      <c r="KAK29" s="41"/>
      <c r="KAV29" s="41"/>
      <c r="KBG29" s="41"/>
      <c r="KBR29" s="41"/>
      <c r="KCC29" s="41"/>
      <c r="KCN29" s="41"/>
      <c r="KCY29" s="41"/>
      <c r="KDJ29" s="41"/>
      <c r="KDU29" s="41"/>
      <c r="KEF29" s="41"/>
      <c r="KEQ29" s="41"/>
      <c r="KFB29" s="41"/>
      <c r="KFM29" s="41"/>
      <c r="KFX29" s="41"/>
      <c r="KGI29" s="41"/>
      <c r="KGT29" s="41"/>
      <c r="KHE29" s="41"/>
      <c r="KHP29" s="41"/>
      <c r="KIA29" s="41"/>
      <c r="KIL29" s="41"/>
      <c r="KIW29" s="41"/>
      <c r="KJH29" s="41"/>
      <c r="KJS29" s="41"/>
      <c r="KKD29" s="41"/>
      <c r="KKO29" s="41"/>
      <c r="KKZ29" s="41"/>
      <c r="KLK29" s="41"/>
      <c r="KLV29" s="41"/>
      <c r="KMG29" s="41"/>
      <c r="KMR29" s="41"/>
      <c r="KNC29" s="41"/>
      <c r="KNN29" s="41"/>
      <c r="KNY29" s="41"/>
      <c r="KOJ29" s="41"/>
      <c r="KOU29" s="41"/>
      <c r="KPF29" s="41"/>
      <c r="KPQ29" s="41"/>
      <c r="KQB29" s="41"/>
      <c r="KQM29" s="41"/>
      <c r="KQX29" s="41"/>
      <c r="KRI29" s="41"/>
      <c r="KRT29" s="41"/>
      <c r="KSE29" s="41"/>
      <c r="KSP29" s="41"/>
      <c r="KTA29" s="41"/>
      <c r="KTL29" s="41"/>
      <c r="KTW29" s="41"/>
      <c r="KUH29" s="41"/>
      <c r="KUS29" s="41"/>
      <c r="KVD29" s="41"/>
      <c r="KVO29" s="41"/>
      <c r="KVZ29" s="41"/>
      <c r="KWK29" s="41"/>
      <c r="KWV29" s="41"/>
      <c r="KXG29" s="41"/>
      <c r="KXR29" s="41"/>
      <c r="KYC29" s="41"/>
      <c r="KYN29" s="41"/>
      <c r="KYY29" s="41"/>
      <c r="KZJ29" s="41"/>
      <c r="KZU29" s="41"/>
      <c r="LAF29" s="41"/>
      <c r="LAQ29" s="41"/>
      <c r="LBB29" s="41"/>
      <c r="LBM29" s="41"/>
      <c r="LBX29" s="41"/>
      <c r="LCI29" s="41"/>
      <c r="LCT29" s="41"/>
      <c r="LDE29" s="41"/>
      <c r="LDP29" s="41"/>
      <c r="LEA29" s="41"/>
      <c r="LEL29" s="41"/>
      <c r="LEW29" s="41"/>
      <c r="LFH29" s="41"/>
      <c r="LFS29" s="41"/>
      <c r="LGD29" s="41"/>
      <c r="LGO29" s="41"/>
      <c r="LGZ29" s="41"/>
      <c r="LHK29" s="41"/>
      <c r="LHV29" s="41"/>
      <c r="LIG29" s="41"/>
      <c r="LIR29" s="41"/>
      <c r="LJC29" s="41"/>
      <c r="LJN29" s="41"/>
      <c r="LJY29" s="41"/>
      <c r="LKJ29" s="41"/>
      <c r="LKU29" s="41"/>
      <c r="LLF29" s="41"/>
      <c r="LLQ29" s="41"/>
      <c r="LMB29" s="41"/>
      <c r="LMM29" s="41"/>
      <c r="LMX29" s="41"/>
      <c r="LNI29" s="41"/>
      <c r="LNT29" s="41"/>
      <c r="LOE29" s="41"/>
      <c r="LOP29" s="41"/>
      <c r="LPA29" s="41"/>
      <c r="LPL29" s="41"/>
      <c r="LPW29" s="41"/>
      <c r="LQH29" s="41"/>
      <c r="LQS29" s="41"/>
      <c r="LRD29" s="41"/>
      <c r="LRO29" s="41"/>
      <c r="LRZ29" s="41"/>
      <c r="LSK29" s="41"/>
      <c r="LSV29" s="41"/>
      <c r="LTG29" s="41"/>
      <c r="LTR29" s="41"/>
      <c r="LUC29" s="41"/>
      <c r="LUN29" s="41"/>
      <c r="LUY29" s="41"/>
      <c r="LVJ29" s="41"/>
      <c r="LVU29" s="41"/>
      <c r="LWF29" s="41"/>
      <c r="LWQ29" s="41"/>
      <c r="LXB29" s="41"/>
      <c r="LXM29" s="41"/>
      <c r="LXX29" s="41"/>
      <c r="LYI29" s="41"/>
      <c r="LYT29" s="41"/>
      <c r="LZE29" s="41"/>
      <c r="LZP29" s="41"/>
      <c r="MAA29" s="41"/>
      <c r="MAL29" s="41"/>
      <c r="MAW29" s="41"/>
      <c r="MBH29" s="41"/>
      <c r="MBS29" s="41"/>
      <c r="MCD29" s="41"/>
      <c r="MCO29" s="41"/>
      <c r="MCZ29" s="41"/>
      <c r="MDK29" s="41"/>
      <c r="MDV29" s="41"/>
      <c r="MEG29" s="41"/>
      <c r="MER29" s="41"/>
      <c r="MFC29" s="41"/>
      <c r="MFN29" s="41"/>
      <c r="MFY29" s="41"/>
      <c r="MGJ29" s="41"/>
      <c r="MGU29" s="41"/>
      <c r="MHF29" s="41"/>
      <c r="MHQ29" s="41"/>
      <c r="MIB29" s="41"/>
      <c r="MIM29" s="41"/>
      <c r="MIX29" s="41"/>
      <c r="MJI29" s="41"/>
      <c r="MJT29" s="41"/>
      <c r="MKE29" s="41"/>
      <c r="MKP29" s="41"/>
      <c r="MLA29" s="41"/>
      <c r="MLL29" s="41"/>
      <c r="MLW29" s="41"/>
      <c r="MMH29" s="41"/>
      <c r="MMS29" s="41"/>
      <c r="MND29" s="41"/>
      <c r="MNO29" s="41"/>
      <c r="MNZ29" s="41"/>
      <c r="MOK29" s="41"/>
      <c r="MOV29" s="41"/>
      <c r="MPG29" s="41"/>
      <c r="MPR29" s="41"/>
      <c r="MQC29" s="41"/>
      <c r="MQN29" s="41"/>
      <c r="MQY29" s="41"/>
      <c r="MRJ29" s="41"/>
      <c r="MRU29" s="41"/>
      <c r="MSF29" s="41"/>
      <c r="MSQ29" s="41"/>
      <c r="MTB29" s="41"/>
      <c r="MTM29" s="41"/>
      <c r="MTX29" s="41"/>
      <c r="MUI29" s="41"/>
      <c r="MUT29" s="41"/>
      <c r="MVE29" s="41"/>
      <c r="MVP29" s="41"/>
      <c r="MWA29" s="41"/>
      <c r="MWL29" s="41"/>
      <c r="MWW29" s="41"/>
      <c r="MXH29" s="41"/>
      <c r="MXS29" s="41"/>
      <c r="MYD29" s="41"/>
      <c r="MYO29" s="41"/>
      <c r="MYZ29" s="41"/>
      <c r="MZK29" s="41"/>
      <c r="MZV29" s="41"/>
      <c r="NAG29" s="41"/>
      <c r="NAR29" s="41"/>
      <c r="NBC29" s="41"/>
      <c r="NBN29" s="41"/>
      <c r="NBY29" s="41"/>
      <c r="NCJ29" s="41"/>
      <c r="NCU29" s="41"/>
      <c r="NDF29" s="41"/>
      <c r="NDQ29" s="41"/>
      <c r="NEB29" s="41"/>
      <c r="NEM29" s="41"/>
      <c r="NEX29" s="41"/>
      <c r="NFI29" s="41"/>
      <c r="NFT29" s="41"/>
      <c r="NGE29" s="41"/>
      <c r="NGP29" s="41"/>
      <c r="NHA29" s="41"/>
      <c r="NHL29" s="41"/>
      <c r="NHW29" s="41"/>
      <c r="NIH29" s="41"/>
      <c r="NIS29" s="41"/>
      <c r="NJD29" s="41"/>
      <c r="NJO29" s="41"/>
      <c r="NJZ29" s="41"/>
      <c r="NKK29" s="41"/>
      <c r="NKV29" s="41"/>
      <c r="NLG29" s="41"/>
      <c r="NLR29" s="41"/>
      <c r="NMC29" s="41"/>
      <c r="NMN29" s="41"/>
      <c r="NMY29" s="41"/>
      <c r="NNJ29" s="41"/>
      <c r="NNU29" s="41"/>
      <c r="NOF29" s="41"/>
      <c r="NOQ29" s="41"/>
      <c r="NPB29" s="41"/>
      <c r="NPM29" s="41"/>
      <c r="NPX29" s="41"/>
      <c r="NQI29" s="41"/>
      <c r="NQT29" s="41"/>
      <c r="NRE29" s="41"/>
      <c r="NRP29" s="41"/>
      <c r="NSA29" s="41"/>
      <c r="NSL29" s="41"/>
      <c r="NSW29" s="41"/>
      <c r="NTH29" s="41"/>
      <c r="NTS29" s="41"/>
      <c r="NUD29" s="41"/>
      <c r="NUO29" s="41"/>
      <c r="NUZ29" s="41"/>
      <c r="NVK29" s="41"/>
      <c r="NVV29" s="41"/>
      <c r="NWG29" s="41"/>
      <c r="NWR29" s="41"/>
      <c r="NXC29" s="41"/>
      <c r="NXN29" s="41"/>
      <c r="NXY29" s="41"/>
      <c r="NYJ29" s="41"/>
      <c r="NYU29" s="41"/>
      <c r="NZF29" s="41"/>
      <c r="NZQ29" s="41"/>
      <c r="OAB29" s="41"/>
      <c r="OAM29" s="41"/>
      <c r="OAX29" s="41"/>
      <c r="OBI29" s="41"/>
      <c r="OBT29" s="41"/>
      <c r="OCE29" s="41"/>
      <c r="OCP29" s="41"/>
      <c r="ODA29" s="41"/>
      <c r="ODL29" s="41"/>
      <c r="ODW29" s="41"/>
      <c r="OEH29" s="41"/>
      <c r="OES29" s="41"/>
      <c r="OFD29" s="41"/>
      <c r="OFO29" s="41"/>
      <c r="OFZ29" s="41"/>
      <c r="OGK29" s="41"/>
      <c r="OGV29" s="41"/>
      <c r="OHG29" s="41"/>
      <c r="OHR29" s="41"/>
      <c r="OIC29" s="41"/>
      <c r="OIN29" s="41"/>
      <c r="OIY29" s="41"/>
      <c r="OJJ29" s="41"/>
      <c r="OJU29" s="41"/>
      <c r="OKF29" s="41"/>
      <c r="OKQ29" s="41"/>
      <c r="OLB29" s="41"/>
      <c r="OLM29" s="41"/>
      <c r="OLX29" s="41"/>
      <c r="OMI29" s="41"/>
      <c r="OMT29" s="41"/>
      <c r="ONE29" s="41"/>
      <c r="ONP29" s="41"/>
      <c r="OOA29" s="41"/>
      <c r="OOL29" s="41"/>
      <c r="OOW29" s="41"/>
      <c r="OPH29" s="41"/>
      <c r="OPS29" s="41"/>
      <c r="OQD29" s="41"/>
      <c r="OQO29" s="41"/>
      <c r="OQZ29" s="41"/>
      <c r="ORK29" s="41"/>
      <c r="ORV29" s="41"/>
      <c r="OSG29" s="41"/>
      <c r="OSR29" s="41"/>
      <c r="OTC29" s="41"/>
      <c r="OTN29" s="41"/>
      <c r="OTY29" s="41"/>
      <c r="OUJ29" s="41"/>
      <c r="OUU29" s="41"/>
      <c r="OVF29" s="41"/>
      <c r="OVQ29" s="41"/>
      <c r="OWB29" s="41"/>
      <c r="OWM29" s="41"/>
      <c r="OWX29" s="41"/>
      <c r="OXI29" s="41"/>
      <c r="OXT29" s="41"/>
      <c r="OYE29" s="41"/>
      <c r="OYP29" s="41"/>
      <c r="OZA29" s="41"/>
      <c r="OZL29" s="41"/>
      <c r="OZW29" s="41"/>
      <c r="PAH29" s="41"/>
      <c r="PAS29" s="41"/>
      <c r="PBD29" s="41"/>
      <c r="PBO29" s="41"/>
      <c r="PBZ29" s="41"/>
      <c r="PCK29" s="41"/>
      <c r="PCV29" s="41"/>
      <c r="PDG29" s="41"/>
      <c r="PDR29" s="41"/>
      <c r="PEC29" s="41"/>
      <c r="PEN29" s="41"/>
      <c r="PEY29" s="41"/>
      <c r="PFJ29" s="41"/>
      <c r="PFU29" s="41"/>
      <c r="PGF29" s="41"/>
      <c r="PGQ29" s="41"/>
      <c r="PHB29" s="41"/>
      <c r="PHM29" s="41"/>
      <c r="PHX29" s="41"/>
      <c r="PII29" s="41"/>
      <c r="PIT29" s="41"/>
      <c r="PJE29" s="41"/>
      <c r="PJP29" s="41"/>
      <c r="PKA29" s="41"/>
      <c r="PKL29" s="41"/>
      <c r="PKW29" s="41"/>
      <c r="PLH29" s="41"/>
      <c r="PLS29" s="41"/>
      <c r="PMD29" s="41"/>
      <c r="PMO29" s="41"/>
      <c r="PMZ29" s="41"/>
      <c r="PNK29" s="41"/>
      <c r="PNV29" s="41"/>
      <c r="POG29" s="41"/>
      <c r="POR29" s="41"/>
      <c r="PPC29" s="41"/>
      <c r="PPN29" s="41"/>
      <c r="PPY29" s="41"/>
      <c r="PQJ29" s="41"/>
      <c r="PQU29" s="41"/>
      <c r="PRF29" s="41"/>
      <c r="PRQ29" s="41"/>
      <c r="PSB29" s="41"/>
      <c r="PSM29" s="41"/>
      <c r="PSX29" s="41"/>
      <c r="PTI29" s="41"/>
      <c r="PTT29" s="41"/>
      <c r="PUE29" s="41"/>
      <c r="PUP29" s="41"/>
      <c r="PVA29" s="41"/>
      <c r="PVL29" s="41"/>
      <c r="PVW29" s="41"/>
      <c r="PWH29" s="41"/>
      <c r="PWS29" s="41"/>
      <c r="PXD29" s="41"/>
      <c r="PXO29" s="41"/>
      <c r="PXZ29" s="41"/>
      <c r="PYK29" s="41"/>
      <c r="PYV29" s="41"/>
      <c r="PZG29" s="41"/>
      <c r="PZR29" s="41"/>
      <c r="QAC29" s="41"/>
      <c r="QAN29" s="41"/>
      <c r="QAY29" s="41"/>
      <c r="QBJ29" s="41"/>
      <c r="QBU29" s="41"/>
      <c r="QCF29" s="41"/>
      <c r="QCQ29" s="41"/>
      <c r="QDB29" s="41"/>
      <c r="QDM29" s="41"/>
      <c r="QDX29" s="41"/>
      <c r="QEI29" s="41"/>
      <c r="QET29" s="41"/>
      <c r="QFE29" s="41"/>
      <c r="QFP29" s="41"/>
      <c r="QGA29" s="41"/>
      <c r="QGL29" s="41"/>
      <c r="QGW29" s="41"/>
      <c r="QHH29" s="41"/>
      <c r="QHS29" s="41"/>
      <c r="QID29" s="41"/>
      <c r="QIO29" s="41"/>
      <c r="QIZ29" s="41"/>
      <c r="QJK29" s="41"/>
      <c r="QJV29" s="41"/>
      <c r="QKG29" s="41"/>
      <c r="QKR29" s="41"/>
      <c r="QLC29" s="41"/>
      <c r="QLN29" s="41"/>
      <c r="QLY29" s="41"/>
      <c r="QMJ29" s="41"/>
      <c r="QMU29" s="41"/>
      <c r="QNF29" s="41"/>
      <c r="QNQ29" s="41"/>
      <c r="QOB29" s="41"/>
      <c r="QOM29" s="41"/>
      <c r="QOX29" s="41"/>
      <c r="QPI29" s="41"/>
      <c r="QPT29" s="41"/>
      <c r="QQE29" s="41"/>
      <c r="QQP29" s="41"/>
      <c r="QRA29" s="41"/>
      <c r="QRL29" s="41"/>
      <c r="QRW29" s="41"/>
      <c r="QSH29" s="41"/>
      <c r="QSS29" s="41"/>
      <c r="QTD29" s="41"/>
      <c r="QTO29" s="41"/>
      <c r="QTZ29" s="41"/>
      <c r="QUK29" s="41"/>
      <c r="QUV29" s="41"/>
      <c r="QVG29" s="41"/>
      <c r="QVR29" s="41"/>
      <c r="QWC29" s="41"/>
      <c r="QWN29" s="41"/>
      <c r="QWY29" s="41"/>
      <c r="QXJ29" s="41"/>
      <c r="QXU29" s="41"/>
      <c r="QYF29" s="41"/>
      <c r="QYQ29" s="41"/>
      <c r="QZB29" s="41"/>
      <c r="QZM29" s="41"/>
      <c r="QZX29" s="41"/>
      <c r="RAI29" s="41"/>
      <c r="RAT29" s="41"/>
      <c r="RBE29" s="41"/>
      <c r="RBP29" s="41"/>
      <c r="RCA29" s="41"/>
      <c r="RCL29" s="41"/>
      <c r="RCW29" s="41"/>
      <c r="RDH29" s="41"/>
      <c r="RDS29" s="41"/>
      <c r="RED29" s="41"/>
      <c r="REO29" s="41"/>
      <c r="REZ29" s="41"/>
      <c r="RFK29" s="41"/>
      <c r="RFV29" s="41"/>
      <c r="RGG29" s="41"/>
      <c r="RGR29" s="41"/>
      <c r="RHC29" s="41"/>
      <c r="RHN29" s="41"/>
      <c r="RHY29" s="41"/>
      <c r="RIJ29" s="41"/>
      <c r="RIU29" s="41"/>
      <c r="RJF29" s="41"/>
      <c r="RJQ29" s="41"/>
      <c r="RKB29" s="41"/>
      <c r="RKM29" s="41"/>
      <c r="RKX29" s="41"/>
      <c r="RLI29" s="41"/>
      <c r="RLT29" s="41"/>
      <c r="RME29" s="41"/>
      <c r="RMP29" s="41"/>
      <c r="RNA29" s="41"/>
      <c r="RNL29" s="41"/>
      <c r="RNW29" s="41"/>
      <c r="ROH29" s="41"/>
      <c r="ROS29" s="41"/>
      <c r="RPD29" s="41"/>
      <c r="RPO29" s="41"/>
      <c r="RPZ29" s="41"/>
      <c r="RQK29" s="41"/>
      <c r="RQV29" s="41"/>
      <c r="RRG29" s="41"/>
      <c r="RRR29" s="41"/>
      <c r="RSC29" s="41"/>
      <c r="RSN29" s="41"/>
      <c r="RSY29" s="41"/>
      <c r="RTJ29" s="41"/>
      <c r="RTU29" s="41"/>
      <c r="RUF29" s="41"/>
      <c r="RUQ29" s="41"/>
      <c r="RVB29" s="41"/>
      <c r="RVM29" s="41"/>
      <c r="RVX29" s="41"/>
      <c r="RWI29" s="41"/>
      <c r="RWT29" s="41"/>
      <c r="RXE29" s="41"/>
      <c r="RXP29" s="41"/>
      <c r="RYA29" s="41"/>
      <c r="RYL29" s="41"/>
      <c r="RYW29" s="41"/>
      <c r="RZH29" s="41"/>
      <c r="RZS29" s="41"/>
      <c r="SAD29" s="41"/>
      <c r="SAO29" s="41"/>
      <c r="SAZ29" s="41"/>
      <c r="SBK29" s="41"/>
      <c r="SBV29" s="41"/>
      <c r="SCG29" s="41"/>
      <c r="SCR29" s="41"/>
      <c r="SDC29" s="41"/>
      <c r="SDN29" s="41"/>
      <c r="SDY29" s="41"/>
      <c r="SEJ29" s="41"/>
      <c r="SEU29" s="41"/>
      <c r="SFF29" s="41"/>
      <c r="SFQ29" s="41"/>
      <c r="SGB29" s="41"/>
      <c r="SGM29" s="41"/>
      <c r="SGX29" s="41"/>
      <c r="SHI29" s="41"/>
      <c r="SHT29" s="41"/>
      <c r="SIE29" s="41"/>
      <c r="SIP29" s="41"/>
      <c r="SJA29" s="41"/>
      <c r="SJL29" s="41"/>
      <c r="SJW29" s="41"/>
      <c r="SKH29" s="41"/>
      <c r="SKS29" s="41"/>
      <c r="SLD29" s="41"/>
      <c r="SLO29" s="41"/>
      <c r="SLZ29" s="41"/>
      <c r="SMK29" s="41"/>
      <c r="SMV29" s="41"/>
      <c r="SNG29" s="41"/>
      <c r="SNR29" s="41"/>
      <c r="SOC29" s="41"/>
      <c r="SON29" s="41"/>
      <c r="SOY29" s="41"/>
      <c r="SPJ29" s="41"/>
      <c r="SPU29" s="41"/>
      <c r="SQF29" s="41"/>
      <c r="SQQ29" s="41"/>
      <c r="SRB29" s="41"/>
      <c r="SRM29" s="41"/>
      <c r="SRX29" s="41"/>
      <c r="SSI29" s="41"/>
      <c r="SST29" s="41"/>
      <c r="STE29" s="41"/>
      <c r="STP29" s="41"/>
      <c r="SUA29" s="41"/>
      <c r="SUL29" s="41"/>
      <c r="SUW29" s="41"/>
      <c r="SVH29" s="41"/>
      <c r="SVS29" s="41"/>
      <c r="SWD29" s="41"/>
      <c r="SWO29" s="41"/>
      <c r="SWZ29" s="41"/>
      <c r="SXK29" s="41"/>
      <c r="SXV29" s="41"/>
      <c r="SYG29" s="41"/>
      <c r="SYR29" s="41"/>
      <c r="SZC29" s="41"/>
      <c r="SZN29" s="41"/>
      <c r="SZY29" s="41"/>
      <c r="TAJ29" s="41"/>
      <c r="TAU29" s="41"/>
      <c r="TBF29" s="41"/>
      <c r="TBQ29" s="41"/>
      <c r="TCB29" s="41"/>
      <c r="TCM29" s="41"/>
      <c r="TCX29" s="41"/>
      <c r="TDI29" s="41"/>
      <c r="TDT29" s="41"/>
      <c r="TEE29" s="41"/>
      <c r="TEP29" s="41"/>
      <c r="TFA29" s="41"/>
      <c r="TFL29" s="41"/>
      <c r="TFW29" s="41"/>
      <c r="TGH29" s="41"/>
      <c r="TGS29" s="41"/>
      <c r="THD29" s="41"/>
      <c r="THO29" s="41"/>
      <c r="THZ29" s="41"/>
      <c r="TIK29" s="41"/>
      <c r="TIV29" s="41"/>
      <c r="TJG29" s="41"/>
      <c r="TJR29" s="41"/>
      <c r="TKC29" s="41"/>
      <c r="TKN29" s="41"/>
      <c r="TKY29" s="41"/>
      <c r="TLJ29" s="41"/>
      <c r="TLU29" s="41"/>
      <c r="TMF29" s="41"/>
      <c r="TMQ29" s="41"/>
      <c r="TNB29" s="41"/>
      <c r="TNM29" s="41"/>
      <c r="TNX29" s="41"/>
      <c r="TOI29" s="41"/>
      <c r="TOT29" s="41"/>
      <c r="TPE29" s="41"/>
      <c r="TPP29" s="41"/>
      <c r="TQA29" s="41"/>
      <c r="TQL29" s="41"/>
      <c r="TQW29" s="41"/>
      <c r="TRH29" s="41"/>
      <c r="TRS29" s="41"/>
      <c r="TSD29" s="41"/>
      <c r="TSO29" s="41"/>
      <c r="TSZ29" s="41"/>
      <c r="TTK29" s="41"/>
      <c r="TTV29" s="41"/>
      <c r="TUG29" s="41"/>
      <c r="TUR29" s="41"/>
      <c r="TVC29" s="41"/>
      <c r="TVN29" s="41"/>
      <c r="TVY29" s="41"/>
      <c r="TWJ29" s="41"/>
      <c r="TWU29" s="41"/>
      <c r="TXF29" s="41"/>
      <c r="TXQ29" s="41"/>
      <c r="TYB29" s="41"/>
      <c r="TYM29" s="41"/>
      <c r="TYX29" s="41"/>
      <c r="TZI29" s="41"/>
      <c r="TZT29" s="41"/>
      <c r="UAE29" s="41"/>
      <c r="UAP29" s="41"/>
      <c r="UBA29" s="41"/>
      <c r="UBL29" s="41"/>
      <c r="UBW29" s="41"/>
      <c r="UCH29" s="41"/>
      <c r="UCS29" s="41"/>
      <c r="UDD29" s="41"/>
      <c r="UDO29" s="41"/>
      <c r="UDZ29" s="41"/>
      <c r="UEK29" s="41"/>
      <c r="UEV29" s="41"/>
      <c r="UFG29" s="41"/>
      <c r="UFR29" s="41"/>
      <c r="UGC29" s="41"/>
      <c r="UGN29" s="41"/>
      <c r="UGY29" s="41"/>
      <c r="UHJ29" s="41"/>
      <c r="UHU29" s="41"/>
      <c r="UIF29" s="41"/>
      <c r="UIQ29" s="41"/>
      <c r="UJB29" s="41"/>
      <c r="UJM29" s="41"/>
      <c r="UJX29" s="41"/>
      <c r="UKI29" s="41"/>
      <c r="UKT29" s="41"/>
      <c r="ULE29" s="41"/>
      <c r="ULP29" s="41"/>
      <c r="UMA29" s="41"/>
      <c r="UML29" s="41"/>
      <c r="UMW29" s="41"/>
      <c r="UNH29" s="41"/>
      <c r="UNS29" s="41"/>
      <c r="UOD29" s="41"/>
      <c r="UOO29" s="41"/>
      <c r="UOZ29" s="41"/>
      <c r="UPK29" s="41"/>
      <c r="UPV29" s="41"/>
      <c r="UQG29" s="41"/>
      <c r="UQR29" s="41"/>
      <c r="URC29" s="41"/>
      <c r="URN29" s="41"/>
      <c r="URY29" s="41"/>
      <c r="USJ29" s="41"/>
      <c r="USU29" s="41"/>
      <c r="UTF29" s="41"/>
      <c r="UTQ29" s="41"/>
      <c r="UUB29" s="41"/>
      <c r="UUM29" s="41"/>
      <c r="UUX29" s="41"/>
      <c r="UVI29" s="41"/>
      <c r="UVT29" s="41"/>
      <c r="UWE29" s="41"/>
      <c r="UWP29" s="41"/>
      <c r="UXA29" s="41"/>
      <c r="UXL29" s="41"/>
      <c r="UXW29" s="41"/>
      <c r="UYH29" s="41"/>
      <c r="UYS29" s="41"/>
      <c r="UZD29" s="41"/>
      <c r="UZO29" s="41"/>
      <c r="UZZ29" s="41"/>
      <c r="VAK29" s="41"/>
      <c r="VAV29" s="41"/>
      <c r="VBG29" s="41"/>
      <c r="VBR29" s="41"/>
      <c r="VCC29" s="41"/>
      <c r="VCN29" s="41"/>
      <c r="VCY29" s="41"/>
      <c r="VDJ29" s="41"/>
      <c r="VDU29" s="41"/>
      <c r="VEF29" s="41"/>
      <c r="VEQ29" s="41"/>
      <c r="VFB29" s="41"/>
      <c r="VFM29" s="41"/>
      <c r="VFX29" s="41"/>
      <c r="VGI29" s="41"/>
      <c r="VGT29" s="41"/>
      <c r="VHE29" s="41"/>
      <c r="VHP29" s="41"/>
      <c r="VIA29" s="41"/>
      <c r="VIL29" s="41"/>
      <c r="VIW29" s="41"/>
      <c r="VJH29" s="41"/>
      <c r="VJS29" s="41"/>
      <c r="VKD29" s="41"/>
      <c r="VKO29" s="41"/>
      <c r="VKZ29" s="41"/>
      <c r="VLK29" s="41"/>
      <c r="VLV29" s="41"/>
      <c r="VMG29" s="41"/>
      <c r="VMR29" s="41"/>
      <c r="VNC29" s="41"/>
      <c r="VNN29" s="41"/>
      <c r="VNY29" s="41"/>
      <c r="VOJ29" s="41"/>
      <c r="VOU29" s="41"/>
      <c r="VPF29" s="41"/>
      <c r="VPQ29" s="41"/>
      <c r="VQB29" s="41"/>
      <c r="VQM29" s="41"/>
      <c r="VQX29" s="41"/>
      <c r="VRI29" s="41"/>
      <c r="VRT29" s="41"/>
      <c r="VSE29" s="41"/>
      <c r="VSP29" s="41"/>
      <c r="VTA29" s="41"/>
      <c r="VTL29" s="41"/>
      <c r="VTW29" s="41"/>
      <c r="VUH29" s="41"/>
      <c r="VUS29" s="41"/>
      <c r="VVD29" s="41"/>
      <c r="VVO29" s="41"/>
      <c r="VVZ29" s="41"/>
      <c r="VWK29" s="41"/>
      <c r="VWV29" s="41"/>
      <c r="VXG29" s="41"/>
      <c r="VXR29" s="41"/>
      <c r="VYC29" s="41"/>
      <c r="VYN29" s="41"/>
      <c r="VYY29" s="41"/>
      <c r="VZJ29" s="41"/>
      <c r="VZU29" s="41"/>
      <c r="WAF29" s="41"/>
      <c r="WAQ29" s="41"/>
      <c r="WBB29" s="41"/>
      <c r="WBM29" s="41"/>
      <c r="WBX29" s="41"/>
      <c r="WCI29" s="41"/>
      <c r="WCT29" s="41"/>
      <c r="WDE29" s="41"/>
      <c r="WDP29" s="41"/>
      <c r="WEA29" s="41"/>
      <c r="WEL29" s="41"/>
      <c r="WEW29" s="41"/>
      <c r="WFH29" s="41"/>
      <c r="WFS29" s="41"/>
      <c r="WGD29" s="41"/>
      <c r="WGO29" s="41"/>
      <c r="WGZ29" s="41"/>
      <c r="WHK29" s="41"/>
      <c r="WHV29" s="41"/>
      <c r="WIG29" s="41"/>
      <c r="WIR29" s="41"/>
      <c r="WJC29" s="41"/>
      <c r="WJN29" s="41"/>
      <c r="WJY29" s="41"/>
      <c r="WKJ29" s="41"/>
      <c r="WKU29" s="41"/>
      <c r="WLF29" s="41"/>
      <c r="WLQ29" s="41"/>
      <c r="WMB29" s="41"/>
      <c r="WMM29" s="41"/>
      <c r="WMX29" s="41"/>
      <c r="WNI29" s="41"/>
      <c r="WNT29" s="41"/>
      <c r="WOE29" s="41"/>
      <c r="WOP29" s="41"/>
      <c r="WPA29" s="41"/>
      <c r="WPL29" s="41"/>
      <c r="WPW29" s="41"/>
      <c r="WQH29" s="41"/>
      <c r="WQS29" s="41"/>
      <c r="WRD29" s="41"/>
      <c r="WRO29" s="41"/>
      <c r="WRZ29" s="41"/>
      <c r="WSK29" s="41"/>
      <c r="WSV29" s="41"/>
      <c r="WTG29" s="41"/>
      <c r="WTR29" s="41"/>
      <c r="WUC29" s="41"/>
      <c r="WUN29" s="41"/>
      <c r="WUY29" s="41"/>
      <c r="WVJ29" s="41"/>
      <c r="WVU29" s="41"/>
      <c r="WWF29" s="41"/>
      <c r="WWQ29" s="41"/>
      <c r="WXB29" s="41"/>
      <c r="WXM29" s="41"/>
      <c r="WXX29" s="41"/>
      <c r="WYI29" s="41"/>
      <c r="WYT29" s="41"/>
      <c r="WZE29" s="41"/>
      <c r="WZP29" s="41"/>
      <c r="XAA29" s="41"/>
      <c r="XAL29" s="41"/>
      <c r="XAW29" s="41"/>
      <c r="XBH29" s="41"/>
      <c r="XBS29" s="41"/>
      <c r="XCD29" s="41"/>
      <c r="XCO29" s="41"/>
      <c r="XCZ29" s="41"/>
      <c r="XDK29" s="41"/>
      <c r="XDV29" s="41"/>
      <c r="XEG29" s="41"/>
      <c r="XER29" s="41"/>
      <c r="XFC29" s="41"/>
    </row>
    <row r="30" spans="1:1016 1027:2039 2050:3062 3073:4096 4107:5119 5130:6142 6153:7165 7176:8188 8199:9211 9222:10234 10245:11257 11268:12280 12291:13303 13314:14326 14337:15360 15371:16383" s="40" customFormat="1" ht="17.25" customHeight="1">
      <c r="D30" s="131"/>
      <c r="F30" s="41"/>
      <c r="G30" s="215" t="s">
        <v>396</v>
      </c>
      <c r="H30" s="215"/>
      <c r="I30" s="215"/>
      <c r="J30" s="216" t="s">
        <v>397</v>
      </c>
      <c r="K30" s="216"/>
      <c r="L30" s="216"/>
      <c r="M30" s="217" t="s">
        <v>337</v>
      </c>
      <c r="P30" s="221"/>
      <c r="Q30" s="221"/>
      <c r="R30" s="221"/>
      <c r="S30" s="221"/>
      <c r="T30" s="221"/>
      <c r="U30" s="204"/>
      <c r="V30" s="204"/>
      <c r="W30" s="204"/>
      <c r="X30" s="204"/>
      <c r="Y30" s="204"/>
      <c r="Z30" s="204"/>
      <c r="AA30" t="s">
        <v>298</v>
      </c>
      <c r="AK30" s="41"/>
      <c r="AV30" s="41"/>
      <c r="BG30" s="41"/>
      <c r="BR30" s="41"/>
      <c r="CC30" s="41"/>
      <c r="CN30" s="41"/>
      <c r="CY30" s="41"/>
      <c r="DJ30" s="41"/>
      <c r="DU30" s="41"/>
      <c r="EF30" s="41"/>
      <c r="EQ30" s="41"/>
      <c r="FB30" s="41"/>
      <c r="FM30" s="41"/>
      <c r="FX30" s="41"/>
      <c r="GI30" s="41"/>
      <c r="GT30" s="41"/>
      <c r="HE30" s="41"/>
      <c r="HP30" s="41"/>
      <c r="IA30" s="41"/>
      <c r="IL30" s="41"/>
      <c r="IW30" s="41"/>
      <c r="JH30" s="41"/>
      <c r="JS30" s="41"/>
      <c r="KD30" s="41"/>
      <c r="KO30" s="41"/>
      <c r="KZ30" s="41"/>
      <c r="LK30" s="41"/>
      <c r="LV30" s="41"/>
      <c r="MG30" s="41"/>
      <c r="MR30" s="41"/>
      <c r="NC30" s="41"/>
      <c r="NN30" s="41"/>
      <c r="NY30" s="41"/>
      <c r="OJ30" s="41"/>
      <c r="OU30" s="41"/>
      <c r="PF30" s="41"/>
      <c r="PQ30" s="41"/>
      <c r="QB30" s="41"/>
      <c r="QM30" s="41"/>
      <c r="QX30" s="41"/>
      <c r="RI30" s="41"/>
      <c r="RT30" s="41"/>
      <c r="SE30" s="41"/>
      <c r="SP30" s="41"/>
      <c r="TA30" s="41"/>
      <c r="TL30" s="41"/>
      <c r="TW30" s="41"/>
      <c r="UH30" s="41"/>
      <c r="US30" s="41"/>
      <c r="VD30" s="41"/>
      <c r="VO30" s="41"/>
      <c r="VZ30" s="41"/>
      <c r="WK30" s="41"/>
      <c r="WV30" s="41"/>
      <c r="XG30" s="41"/>
      <c r="XR30" s="41"/>
      <c r="YC30" s="41"/>
      <c r="YN30" s="41"/>
      <c r="YY30" s="41"/>
      <c r="ZJ30" s="41"/>
      <c r="ZU30" s="41"/>
      <c r="AAF30" s="41"/>
      <c r="AAQ30" s="41"/>
      <c r="ABB30" s="41"/>
      <c r="ABM30" s="41"/>
      <c r="ABX30" s="41"/>
      <c r="ACI30" s="41"/>
      <c r="ACT30" s="41"/>
      <c r="ADE30" s="41"/>
      <c r="ADP30" s="41"/>
      <c r="AEA30" s="41"/>
      <c r="AEL30" s="41"/>
      <c r="AEW30" s="41"/>
      <c r="AFH30" s="41"/>
      <c r="AFS30" s="41"/>
      <c r="AGD30" s="41"/>
      <c r="AGO30" s="41"/>
      <c r="AGZ30" s="41"/>
      <c r="AHK30" s="41"/>
      <c r="AHV30" s="41"/>
      <c r="AIG30" s="41"/>
      <c r="AIR30" s="41"/>
      <c r="AJC30" s="41"/>
      <c r="AJN30" s="41"/>
      <c r="AJY30" s="41"/>
      <c r="AKJ30" s="41"/>
      <c r="AKU30" s="41"/>
      <c r="ALF30" s="41"/>
      <c r="ALQ30" s="41"/>
      <c r="AMB30" s="41"/>
      <c r="AMM30" s="41"/>
      <c r="AMX30" s="41"/>
      <c r="ANI30" s="41"/>
      <c r="ANT30" s="41"/>
      <c r="AOE30" s="41"/>
      <c r="AOP30" s="41"/>
      <c r="APA30" s="41"/>
      <c r="APL30" s="41"/>
      <c r="APW30" s="41"/>
      <c r="AQH30" s="41"/>
      <c r="AQS30" s="41"/>
      <c r="ARD30" s="41"/>
      <c r="ARO30" s="41"/>
      <c r="ARZ30" s="41"/>
      <c r="ASK30" s="41"/>
      <c r="ASV30" s="41"/>
      <c r="ATG30" s="41"/>
      <c r="ATR30" s="41"/>
      <c r="AUC30" s="41"/>
      <c r="AUN30" s="41"/>
      <c r="AUY30" s="41"/>
      <c r="AVJ30" s="41"/>
      <c r="AVU30" s="41"/>
      <c r="AWF30" s="41"/>
      <c r="AWQ30" s="41"/>
      <c r="AXB30" s="41"/>
      <c r="AXM30" s="41"/>
      <c r="AXX30" s="41"/>
      <c r="AYI30" s="41"/>
      <c r="AYT30" s="41"/>
      <c r="AZE30" s="41"/>
      <c r="AZP30" s="41"/>
      <c r="BAA30" s="41"/>
      <c r="BAL30" s="41"/>
      <c r="BAW30" s="41"/>
      <c r="BBH30" s="41"/>
      <c r="BBS30" s="41"/>
      <c r="BCD30" s="41"/>
      <c r="BCO30" s="41"/>
      <c r="BCZ30" s="41"/>
      <c r="BDK30" s="41"/>
      <c r="BDV30" s="41"/>
      <c r="BEG30" s="41"/>
      <c r="BER30" s="41"/>
      <c r="BFC30" s="41"/>
      <c r="BFN30" s="41"/>
      <c r="BFY30" s="41"/>
      <c r="BGJ30" s="41"/>
      <c r="BGU30" s="41"/>
      <c r="BHF30" s="41"/>
      <c r="BHQ30" s="41"/>
      <c r="BIB30" s="41"/>
      <c r="BIM30" s="41"/>
      <c r="BIX30" s="41"/>
      <c r="BJI30" s="41"/>
      <c r="BJT30" s="41"/>
      <c r="BKE30" s="41"/>
      <c r="BKP30" s="41"/>
      <c r="BLA30" s="41"/>
      <c r="BLL30" s="41"/>
      <c r="BLW30" s="41"/>
      <c r="BMH30" s="41"/>
      <c r="BMS30" s="41"/>
      <c r="BND30" s="41"/>
      <c r="BNO30" s="41"/>
      <c r="BNZ30" s="41"/>
      <c r="BOK30" s="41"/>
      <c r="BOV30" s="41"/>
      <c r="BPG30" s="41"/>
      <c r="BPR30" s="41"/>
      <c r="BQC30" s="41"/>
      <c r="BQN30" s="41"/>
      <c r="BQY30" s="41"/>
      <c r="BRJ30" s="41"/>
      <c r="BRU30" s="41"/>
      <c r="BSF30" s="41"/>
      <c r="BSQ30" s="41"/>
      <c r="BTB30" s="41"/>
      <c r="BTM30" s="41"/>
      <c r="BTX30" s="41"/>
      <c r="BUI30" s="41"/>
      <c r="BUT30" s="41"/>
      <c r="BVE30" s="41"/>
      <c r="BVP30" s="41"/>
      <c r="BWA30" s="41"/>
      <c r="BWL30" s="41"/>
      <c r="BWW30" s="41"/>
      <c r="BXH30" s="41"/>
      <c r="BXS30" s="41"/>
      <c r="BYD30" s="41"/>
      <c r="BYO30" s="41"/>
      <c r="BYZ30" s="41"/>
      <c r="BZK30" s="41"/>
      <c r="BZV30" s="41"/>
      <c r="CAG30" s="41"/>
      <c r="CAR30" s="41"/>
      <c r="CBC30" s="41"/>
      <c r="CBN30" s="41"/>
      <c r="CBY30" s="41"/>
      <c r="CCJ30" s="41"/>
      <c r="CCU30" s="41"/>
      <c r="CDF30" s="41"/>
      <c r="CDQ30" s="41"/>
      <c r="CEB30" s="41"/>
      <c r="CEM30" s="41"/>
      <c r="CEX30" s="41"/>
      <c r="CFI30" s="41"/>
      <c r="CFT30" s="41"/>
      <c r="CGE30" s="41"/>
      <c r="CGP30" s="41"/>
      <c r="CHA30" s="41"/>
      <c r="CHL30" s="41"/>
      <c r="CHW30" s="41"/>
      <c r="CIH30" s="41"/>
      <c r="CIS30" s="41"/>
      <c r="CJD30" s="41"/>
      <c r="CJO30" s="41"/>
      <c r="CJZ30" s="41"/>
      <c r="CKK30" s="41"/>
      <c r="CKV30" s="41"/>
      <c r="CLG30" s="41"/>
      <c r="CLR30" s="41"/>
      <c r="CMC30" s="41"/>
      <c r="CMN30" s="41"/>
      <c r="CMY30" s="41"/>
      <c r="CNJ30" s="41"/>
      <c r="CNU30" s="41"/>
      <c r="COF30" s="41"/>
      <c r="COQ30" s="41"/>
      <c r="CPB30" s="41"/>
      <c r="CPM30" s="41"/>
      <c r="CPX30" s="41"/>
      <c r="CQI30" s="41"/>
      <c r="CQT30" s="41"/>
      <c r="CRE30" s="41"/>
      <c r="CRP30" s="41"/>
      <c r="CSA30" s="41"/>
      <c r="CSL30" s="41"/>
      <c r="CSW30" s="41"/>
      <c r="CTH30" s="41"/>
      <c r="CTS30" s="41"/>
      <c r="CUD30" s="41"/>
      <c r="CUO30" s="41"/>
      <c r="CUZ30" s="41"/>
      <c r="CVK30" s="41"/>
      <c r="CVV30" s="41"/>
      <c r="CWG30" s="41"/>
      <c r="CWR30" s="41"/>
      <c r="CXC30" s="41"/>
      <c r="CXN30" s="41"/>
      <c r="CXY30" s="41"/>
      <c r="CYJ30" s="41"/>
      <c r="CYU30" s="41"/>
      <c r="CZF30" s="41"/>
      <c r="CZQ30" s="41"/>
      <c r="DAB30" s="41"/>
      <c r="DAM30" s="41"/>
      <c r="DAX30" s="41"/>
      <c r="DBI30" s="41"/>
      <c r="DBT30" s="41"/>
      <c r="DCE30" s="41"/>
      <c r="DCP30" s="41"/>
      <c r="DDA30" s="41"/>
      <c r="DDL30" s="41"/>
      <c r="DDW30" s="41"/>
      <c r="DEH30" s="41"/>
      <c r="DES30" s="41"/>
      <c r="DFD30" s="41"/>
      <c r="DFO30" s="41"/>
      <c r="DFZ30" s="41"/>
      <c r="DGK30" s="41"/>
      <c r="DGV30" s="41"/>
      <c r="DHG30" s="41"/>
      <c r="DHR30" s="41"/>
      <c r="DIC30" s="41"/>
      <c r="DIN30" s="41"/>
      <c r="DIY30" s="41"/>
      <c r="DJJ30" s="41"/>
      <c r="DJU30" s="41"/>
      <c r="DKF30" s="41"/>
      <c r="DKQ30" s="41"/>
      <c r="DLB30" s="41"/>
      <c r="DLM30" s="41"/>
      <c r="DLX30" s="41"/>
      <c r="DMI30" s="41"/>
      <c r="DMT30" s="41"/>
      <c r="DNE30" s="41"/>
      <c r="DNP30" s="41"/>
      <c r="DOA30" s="41"/>
      <c r="DOL30" s="41"/>
      <c r="DOW30" s="41"/>
      <c r="DPH30" s="41"/>
      <c r="DPS30" s="41"/>
      <c r="DQD30" s="41"/>
      <c r="DQO30" s="41"/>
      <c r="DQZ30" s="41"/>
      <c r="DRK30" s="41"/>
      <c r="DRV30" s="41"/>
      <c r="DSG30" s="41"/>
      <c r="DSR30" s="41"/>
      <c r="DTC30" s="41"/>
      <c r="DTN30" s="41"/>
      <c r="DTY30" s="41"/>
      <c r="DUJ30" s="41"/>
      <c r="DUU30" s="41"/>
      <c r="DVF30" s="41"/>
      <c r="DVQ30" s="41"/>
      <c r="DWB30" s="41"/>
      <c r="DWM30" s="41"/>
      <c r="DWX30" s="41"/>
      <c r="DXI30" s="41"/>
      <c r="DXT30" s="41"/>
      <c r="DYE30" s="41"/>
      <c r="DYP30" s="41"/>
      <c r="DZA30" s="41"/>
      <c r="DZL30" s="41"/>
      <c r="DZW30" s="41"/>
      <c r="EAH30" s="41"/>
      <c r="EAS30" s="41"/>
      <c r="EBD30" s="41"/>
      <c r="EBO30" s="41"/>
      <c r="EBZ30" s="41"/>
      <c r="ECK30" s="41"/>
      <c r="ECV30" s="41"/>
      <c r="EDG30" s="41"/>
      <c r="EDR30" s="41"/>
      <c r="EEC30" s="41"/>
      <c r="EEN30" s="41"/>
      <c r="EEY30" s="41"/>
      <c r="EFJ30" s="41"/>
      <c r="EFU30" s="41"/>
      <c r="EGF30" s="41"/>
      <c r="EGQ30" s="41"/>
      <c r="EHB30" s="41"/>
      <c r="EHM30" s="41"/>
      <c r="EHX30" s="41"/>
      <c r="EII30" s="41"/>
      <c r="EIT30" s="41"/>
      <c r="EJE30" s="41"/>
      <c r="EJP30" s="41"/>
      <c r="EKA30" s="41"/>
      <c r="EKL30" s="41"/>
      <c r="EKW30" s="41"/>
      <c r="ELH30" s="41"/>
      <c r="ELS30" s="41"/>
      <c r="EMD30" s="41"/>
      <c r="EMO30" s="41"/>
      <c r="EMZ30" s="41"/>
      <c r="ENK30" s="41"/>
      <c r="ENV30" s="41"/>
      <c r="EOG30" s="41"/>
      <c r="EOR30" s="41"/>
      <c r="EPC30" s="41"/>
      <c r="EPN30" s="41"/>
      <c r="EPY30" s="41"/>
      <c r="EQJ30" s="41"/>
      <c r="EQU30" s="41"/>
      <c r="ERF30" s="41"/>
      <c r="ERQ30" s="41"/>
      <c r="ESB30" s="41"/>
      <c r="ESM30" s="41"/>
      <c r="ESX30" s="41"/>
      <c r="ETI30" s="41"/>
      <c r="ETT30" s="41"/>
      <c r="EUE30" s="41"/>
      <c r="EUP30" s="41"/>
      <c r="EVA30" s="41"/>
      <c r="EVL30" s="41"/>
      <c r="EVW30" s="41"/>
      <c r="EWH30" s="41"/>
      <c r="EWS30" s="41"/>
      <c r="EXD30" s="41"/>
      <c r="EXO30" s="41"/>
      <c r="EXZ30" s="41"/>
      <c r="EYK30" s="41"/>
      <c r="EYV30" s="41"/>
      <c r="EZG30" s="41"/>
      <c r="EZR30" s="41"/>
      <c r="FAC30" s="41"/>
      <c r="FAN30" s="41"/>
      <c r="FAY30" s="41"/>
      <c r="FBJ30" s="41"/>
      <c r="FBU30" s="41"/>
      <c r="FCF30" s="41"/>
      <c r="FCQ30" s="41"/>
      <c r="FDB30" s="41"/>
      <c r="FDM30" s="41"/>
      <c r="FDX30" s="41"/>
      <c r="FEI30" s="41"/>
      <c r="FET30" s="41"/>
      <c r="FFE30" s="41"/>
      <c r="FFP30" s="41"/>
      <c r="FGA30" s="41"/>
      <c r="FGL30" s="41"/>
      <c r="FGW30" s="41"/>
      <c r="FHH30" s="41"/>
      <c r="FHS30" s="41"/>
      <c r="FID30" s="41"/>
      <c r="FIO30" s="41"/>
      <c r="FIZ30" s="41"/>
      <c r="FJK30" s="41"/>
      <c r="FJV30" s="41"/>
      <c r="FKG30" s="41"/>
      <c r="FKR30" s="41"/>
      <c r="FLC30" s="41"/>
      <c r="FLN30" s="41"/>
      <c r="FLY30" s="41"/>
      <c r="FMJ30" s="41"/>
      <c r="FMU30" s="41"/>
      <c r="FNF30" s="41"/>
      <c r="FNQ30" s="41"/>
      <c r="FOB30" s="41"/>
      <c r="FOM30" s="41"/>
      <c r="FOX30" s="41"/>
      <c r="FPI30" s="41"/>
      <c r="FPT30" s="41"/>
      <c r="FQE30" s="41"/>
      <c r="FQP30" s="41"/>
      <c r="FRA30" s="41"/>
      <c r="FRL30" s="41"/>
      <c r="FRW30" s="41"/>
      <c r="FSH30" s="41"/>
      <c r="FSS30" s="41"/>
      <c r="FTD30" s="41"/>
      <c r="FTO30" s="41"/>
      <c r="FTZ30" s="41"/>
      <c r="FUK30" s="41"/>
      <c r="FUV30" s="41"/>
      <c r="FVG30" s="41"/>
      <c r="FVR30" s="41"/>
      <c r="FWC30" s="41"/>
      <c r="FWN30" s="41"/>
      <c r="FWY30" s="41"/>
      <c r="FXJ30" s="41"/>
      <c r="FXU30" s="41"/>
      <c r="FYF30" s="41"/>
      <c r="FYQ30" s="41"/>
      <c r="FZB30" s="41"/>
      <c r="FZM30" s="41"/>
      <c r="FZX30" s="41"/>
      <c r="GAI30" s="41"/>
      <c r="GAT30" s="41"/>
      <c r="GBE30" s="41"/>
      <c r="GBP30" s="41"/>
      <c r="GCA30" s="41"/>
      <c r="GCL30" s="41"/>
      <c r="GCW30" s="41"/>
      <c r="GDH30" s="41"/>
      <c r="GDS30" s="41"/>
      <c r="GED30" s="41"/>
      <c r="GEO30" s="41"/>
      <c r="GEZ30" s="41"/>
      <c r="GFK30" s="41"/>
      <c r="GFV30" s="41"/>
      <c r="GGG30" s="41"/>
      <c r="GGR30" s="41"/>
      <c r="GHC30" s="41"/>
      <c r="GHN30" s="41"/>
      <c r="GHY30" s="41"/>
      <c r="GIJ30" s="41"/>
      <c r="GIU30" s="41"/>
      <c r="GJF30" s="41"/>
      <c r="GJQ30" s="41"/>
      <c r="GKB30" s="41"/>
      <c r="GKM30" s="41"/>
      <c r="GKX30" s="41"/>
      <c r="GLI30" s="41"/>
      <c r="GLT30" s="41"/>
      <c r="GME30" s="41"/>
      <c r="GMP30" s="41"/>
      <c r="GNA30" s="41"/>
      <c r="GNL30" s="41"/>
      <c r="GNW30" s="41"/>
      <c r="GOH30" s="41"/>
      <c r="GOS30" s="41"/>
      <c r="GPD30" s="41"/>
      <c r="GPO30" s="41"/>
      <c r="GPZ30" s="41"/>
      <c r="GQK30" s="41"/>
      <c r="GQV30" s="41"/>
      <c r="GRG30" s="41"/>
      <c r="GRR30" s="41"/>
      <c r="GSC30" s="41"/>
      <c r="GSN30" s="41"/>
      <c r="GSY30" s="41"/>
      <c r="GTJ30" s="41"/>
      <c r="GTU30" s="41"/>
      <c r="GUF30" s="41"/>
      <c r="GUQ30" s="41"/>
      <c r="GVB30" s="41"/>
      <c r="GVM30" s="41"/>
      <c r="GVX30" s="41"/>
      <c r="GWI30" s="41"/>
      <c r="GWT30" s="41"/>
      <c r="GXE30" s="41"/>
      <c r="GXP30" s="41"/>
      <c r="GYA30" s="41"/>
      <c r="GYL30" s="41"/>
      <c r="GYW30" s="41"/>
      <c r="GZH30" s="41"/>
      <c r="GZS30" s="41"/>
      <c r="HAD30" s="41"/>
      <c r="HAO30" s="41"/>
      <c r="HAZ30" s="41"/>
      <c r="HBK30" s="41"/>
      <c r="HBV30" s="41"/>
      <c r="HCG30" s="41"/>
      <c r="HCR30" s="41"/>
      <c r="HDC30" s="41"/>
      <c r="HDN30" s="41"/>
      <c r="HDY30" s="41"/>
      <c r="HEJ30" s="41"/>
      <c r="HEU30" s="41"/>
      <c r="HFF30" s="41"/>
      <c r="HFQ30" s="41"/>
      <c r="HGB30" s="41"/>
      <c r="HGM30" s="41"/>
      <c r="HGX30" s="41"/>
      <c r="HHI30" s="41"/>
      <c r="HHT30" s="41"/>
      <c r="HIE30" s="41"/>
      <c r="HIP30" s="41"/>
      <c r="HJA30" s="41"/>
      <c r="HJL30" s="41"/>
      <c r="HJW30" s="41"/>
      <c r="HKH30" s="41"/>
      <c r="HKS30" s="41"/>
      <c r="HLD30" s="41"/>
      <c r="HLO30" s="41"/>
      <c r="HLZ30" s="41"/>
      <c r="HMK30" s="41"/>
      <c r="HMV30" s="41"/>
      <c r="HNG30" s="41"/>
      <c r="HNR30" s="41"/>
      <c r="HOC30" s="41"/>
      <c r="HON30" s="41"/>
      <c r="HOY30" s="41"/>
      <c r="HPJ30" s="41"/>
      <c r="HPU30" s="41"/>
      <c r="HQF30" s="41"/>
      <c r="HQQ30" s="41"/>
      <c r="HRB30" s="41"/>
      <c r="HRM30" s="41"/>
      <c r="HRX30" s="41"/>
      <c r="HSI30" s="41"/>
      <c r="HST30" s="41"/>
      <c r="HTE30" s="41"/>
      <c r="HTP30" s="41"/>
      <c r="HUA30" s="41"/>
      <c r="HUL30" s="41"/>
      <c r="HUW30" s="41"/>
      <c r="HVH30" s="41"/>
      <c r="HVS30" s="41"/>
      <c r="HWD30" s="41"/>
      <c r="HWO30" s="41"/>
      <c r="HWZ30" s="41"/>
      <c r="HXK30" s="41"/>
      <c r="HXV30" s="41"/>
      <c r="HYG30" s="41"/>
      <c r="HYR30" s="41"/>
      <c r="HZC30" s="41"/>
      <c r="HZN30" s="41"/>
      <c r="HZY30" s="41"/>
      <c r="IAJ30" s="41"/>
      <c r="IAU30" s="41"/>
      <c r="IBF30" s="41"/>
      <c r="IBQ30" s="41"/>
      <c r="ICB30" s="41"/>
      <c r="ICM30" s="41"/>
      <c r="ICX30" s="41"/>
      <c r="IDI30" s="41"/>
      <c r="IDT30" s="41"/>
      <c r="IEE30" s="41"/>
      <c r="IEP30" s="41"/>
      <c r="IFA30" s="41"/>
      <c r="IFL30" s="41"/>
      <c r="IFW30" s="41"/>
      <c r="IGH30" s="41"/>
      <c r="IGS30" s="41"/>
      <c r="IHD30" s="41"/>
      <c r="IHO30" s="41"/>
      <c r="IHZ30" s="41"/>
      <c r="IIK30" s="41"/>
      <c r="IIV30" s="41"/>
      <c r="IJG30" s="41"/>
      <c r="IJR30" s="41"/>
      <c r="IKC30" s="41"/>
      <c r="IKN30" s="41"/>
      <c r="IKY30" s="41"/>
      <c r="ILJ30" s="41"/>
      <c r="ILU30" s="41"/>
      <c r="IMF30" s="41"/>
      <c r="IMQ30" s="41"/>
      <c r="INB30" s="41"/>
      <c r="INM30" s="41"/>
      <c r="INX30" s="41"/>
      <c r="IOI30" s="41"/>
      <c r="IOT30" s="41"/>
      <c r="IPE30" s="41"/>
      <c r="IPP30" s="41"/>
      <c r="IQA30" s="41"/>
      <c r="IQL30" s="41"/>
      <c r="IQW30" s="41"/>
      <c r="IRH30" s="41"/>
      <c r="IRS30" s="41"/>
      <c r="ISD30" s="41"/>
      <c r="ISO30" s="41"/>
      <c r="ISZ30" s="41"/>
      <c r="ITK30" s="41"/>
      <c r="ITV30" s="41"/>
      <c r="IUG30" s="41"/>
      <c r="IUR30" s="41"/>
      <c r="IVC30" s="41"/>
      <c r="IVN30" s="41"/>
      <c r="IVY30" s="41"/>
      <c r="IWJ30" s="41"/>
      <c r="IWU30" s="41"/>
      <c r="IXF30" s="41"/>
      <c r="IXQ30" s="41"/>
      <c r="IYB30" s="41"/>
      <c r="IYM30" s="41"/>
      <c r="IYX30" s="41"/>
      <c r="IZI30" s="41"/>
      <c r="IZT30" s="41"/>
      <c r="JAE30" s="41"/>
      <c r="JAP30" s="41"/>
      <c r="JBA30" s="41"/>
      <c r="JBL30" s="41"/>
      <c r="JBW30" s="41"/>
      <c r="JCH30" s="41"/>
      <c r="JCS30" s="41"/>
      <c r="JDD30" s="41"/>
      <c r="JDO30" s="41"/>
      <c r="JDZ30" s="41"/>
      <c r="JEK30" s="41"/>
      <c r="JEV30" s="41"/>
      <c r="JFG30" s="41"/>
      <c r="JFR30" s="41"/>
      <c r="JGC30" s="41"/>
      <c r="JGN30" s="41"/>
      <c r="JGY30" s="41"/>
      <c r="JHJ30" s="41"/>
      <c r="JHU30" s="41"/>
      <c r="JIF30" s="41"/>
      <c r="JIQ30" s="41"/>
      <c r="JJB30" s="41"/>
      <c r="JJM30" s="41"/>
      <c r="JJX30" s="41"/>
      <c r="JKI30" s="41"/>
      <c r="JKT30" s="41"/>
      <c r="JLE30" s="41"/>
      <c r="JLP30" s="41"/>
      <c r="JMA30" s="41"/>
      <c r="JML30" s="41"/>
      <c r="JMW30" s="41"/>
      <c r="JNH30" s="41"/>
      <c r="JNS30" s="41"/>
      <c r="JOD30" s="41"/>
      <c r="JOO30" s="41"/>
      <c r="JOZ30" s="41"/>
      <c r="JPK30" s="41"/>
      <c r="JPV30" s="41"/>
      <c r="JQG30" s="41"/>
      <c r="JQR30" s="41"/>
      <c r="JRC30" s="41"/>
      <c r="JRN30" s="41"/>
      <c r="JRY30" s="41"/>
      <c r="JSJ30" s="41"/>
      <c r="JSU30" s="41"/>
      <c r="JTF30" s="41"/>
      <c r="JTQ30" s="41"/>
      <c r="JUB30" s="41"/>
      <c r="JUM30" s="41"/>
      <c r="JUX30" s="41"/>
      <c r="JVI30" s="41"/>
      <c r="JVT30" s="41"/>
      <c r="JWE30" s="41"/>
      <c r="JWP30" s="41"/>
      <c r="JXA30" s="41"/>
      <c r="JXL30" s="41"/>
      <c r="JXW30" s="41"/>
      <c r="JYH30" s="41"/>
      <c r="JYS30" s="41"/>
      <c r="JZD30" s="41"/>
      <c r="JZO30" s="41"/>
      <c r="JZZ30" s="41"/>
      <c r="KAK30" s="41"/>
      <c r="KAV30" s="41"/>
      <c r="KBG30" s="41"/>
      <c r="KBR30" s="41"/>
      <c r="KCC30" s="41"/>
      <c r="KCN30" s="41"/>
      <c r="KCY30" s="41"/>
      <c r="KDJ30" s="41"/>
      <c r="KDU30" s="41"/>
      <c r="KEF30" s="41"/>
      <c r="KEQ30" s="41"/>
      <c r="KFB30" s="41"/>
      <c r="KFM30" s="41"/>
      <c r="KFX30" s="41"/>
      <c r="KGI30" s="41"/>
      <c r="KGT30" s="41"/>
      <c r="KHE30" s="41"/>
      <c r="KHP30" s="41"/>
      <c r="KIA30" s="41"/>
      <c r="KIL30" s="41"/>
      <c r="KIW30" s="41"/>
      <c r="KJH30" s="41"/>
      <c r="KJS30" s="41"/>
      <c r="KKD30" s="41"/>
      <c r="KKO30" s="41"/>
      <c r="KKZ30" s="41"/>
      <c r="KLK30" s="41"/>
      <c r="KLV30" s="41"/>
      <c r="KMG30" s="41"/>
      <c r="KMR30" s="41"/>
      <c r="KNC30" s="41"/>
      <c r="KNN30" s="41"/>
      <c r="KNY30" s="41"/>
      <c r="KOJ30" s="41"/>
      <c r="KOU30" s="41"/>
      <c r="KPF30" s="41"/>
      <c r="KPQ30" s="41"/>
      <c r="KQB30" s="41"/>
      <c r="KQM30" s="41"/>
      <c r="KQX30" s="41"/>
      <c r="KRI30" s="41"/>
      <c r="KRT30" s="41"/>
      <c r="KSE30" s="41"/>
      <c r="KSP30" s="41"/>
      <c r="KTA30" s="41"/>
      <c r="KTL30" s="41"/>
      <c r="KTW30" s="41"/>
      <c r="KUH30" s="41"/>
      <c r="KUS30" s="41"/>
      <c r="KVD30" s="41"/>
      <c r="KVO30" s="41"/>
      <c r="KVZ30" s="41"/>
      <c r="KWK30" s="41"/>
      <c r="KWV30" s="41"/>
      <c r="KXG30" s="41"/>
      <c r="KXR30" s="41"/>
      <c r="KYC30" s="41"/>
      <c r="KYN30" s="41"/>
      <c r="KYY30" s="41"/>
      <c r="KZJ30" s="41"/>
      <c r="KZU30" s="41"/>
      <c r="LAF30" s="41"/>
      <c r="LAQ30" s="41"/>
      <c r="LBB30" s="41"/>
      <c r="LBM30" s="41"/>
      <c r="LBX30" s="41"/>
      <c r="LCI30" s="41"/>
      <c r="LCT30" s="41"/>
      <c r="LDE30" s="41"/>
      <c r="LDP30" s="41"/>
      <c r="LEA30" s="41"/>
      <c r="LEL30" s="41"/>
      <c r="LEW30" s="41"/>
      <c r="LFH30" s="41"/>
      <c r="LFS30" s="41"/>
      <c r="LGD30" s="41"/>
      <c r="LGO30" s="41"/>
      <c r="LGZ30" s="41"/>
      <c r="LHK30" s="41"/>
      <c r="LHV30" s="41"/>
      <c r="LIG30" s="41"/>
      <c r="LIR30" s="41"/>
      <c r="LJC30" s="41"/>
      <c r="LJN30" s="41"/>
      <c r="LJY30" s="41"/>
      <c r="LKJ30" s="41"/>
      <c r="LKU30" s="41"/>
      <c r="LLF30" s="41"/>
      <c r="LLQ30" s="41"/>
      <c r="LMB30" s="41"/>
      <c r="LMM30" s="41"/>
      <c r="LMX30" s="41"/>
      <c r="LNI30" s="41"/>
      <c r="LNT30" s="41"/>
      <c r="LOE30" s="41"/>
      <c r="LOP30" s="41"/>
      <c r="LPA30" s="41"/>
      <c r="LPL30" s="41"/>
      <c r="LPW30" s="41"/>
      <c r="LQH30" s="41"/>
      <c r="LQS30" s="41"/>
      <c r="LRD30" s="41"/>
      <c r="LRO30" s="41"/>
      <c r="LRZ30" s="41"/>
      <c r="LSK30" s="41"/>
      <c r="LSV30" s="41"/>
      <c r="LTG30" s="41"/>
      <c r="LTR30" s="41"/>
      <c r="LUC30" s="41"/>
      <c r="LUN30" s="41"/>
      <c r="LUY30" s="41"/>
      <c r="LVJ30" s="41"/>
      <c r="LVU30" s="41"/>
      <c r="LWF30" s="41"/>
      <c r="LWQ30" s="41"/>
      <c r="LXB30" s="41"/>
      <c r="LXM30" s="41"/>
      <c r="LXX30" s="41"/>
      <c r="LYI30" s="41"/>
      <c r="LYT30" s="41"/>
      <c r="LZE30" s="41"/>
      <c r="LZP30" s="41"/>
      <c r="MAA30" s="41"/>
      <c r="MAL30" s="41"/>
      <c r="MAW30" s="41"/>
      <c r="MBH30" s="41"/>
      <c r="MBS30" s="41"/>
      <c r="MCD30" s="41"/>
      <c r="MCO30" s="41"/>
      <c r="MCZ30" s="41"/>
      <c r="MDK30" s="41"/>
      <c r="MDV30" s="41"/>
      <c r="MEG30" s="41"/>
      <c r="MER30" s="41"/>
      <c r="MFC30" s="41"/>
      <c r="MFN30" s="41"/>
      <c r="MFY30" s="41"/>
      <c r="MGJ30" s="41"/>
      <c r="MGU30" s="41"/>
      <c r="MHF30" s="41"/>
      <c r="MHQ30" s="41"/>
      <c r="MIB30" s="41"/>
      <c r="MIM30" s="41"/>
      <c r="MIX30" s="41"/>
      <c r="MJI30" s="41"/>
      <c r="MJT30" s="41"/>
      <c r="MKE30" s="41"/>
      <c r="MKP30" s="41"/>
      <c r="MLA30" s="41"/>
      <c r="MLL30" s="41"/>
      <c r="MLW30" s="41"/>
      <c r="MMH30" s="41"/>
      <c r="MMS30" s="41"/>
      <c r="MND30" s="41"/>
      <c r="MNO30" s="41"/>
      <c r="MNZ30" s="41"/>
      <c r="MOK30" s="41"/>
      <c r="MOV30" s="41"/>
      <c r="MPG30" s="41"/>
      <c r="MPR30" s="41"/>
      <c r="MQC30" s="41"/>
      <c r="MQN30" s="41"/>
      <c r="MQY30" s="41"/>
      <c r="MRJ30" s="41"/>
      <c r="MRU30" s="41"/>
      <c r="MSF30" s="41"/>
      <c r="MSQ30" s="41"/>
      <c r="MTB30" s="41"/>
      <c r="MTM30" s="41"/>
      <c r="MTX30" s="41"/>
      <c r="MUI30" s="41"/>
      <c r="MUT30" s="41"/>
      <c r="MVE30" s="41"/>
      <c r="MVP30" s="41"/>
      <c r="MWA30" s="41"/>
      <c r="MWL30" s="41"/>
      <c r="MWW30" s="41"/>
      <c r="MXH30" s="41"/>
      <c r="MXS30" s="41"/>
      <c r="MYD30" s="41"/>
      <c r="MYO30" s="41"/>
      <c r="MYZ30" s="41"/>
      <c r="MZK30" s="41"/>
      <c r="MZV30" s="41"/>
      <c r="NAG30" s="41"/>
      <c r="NAR30" s="41"/>
      <c r="NBC30" s="41"/>
      <c r="NBN30" s="41"/>
      <c r="NBY30" s="41"/>
      <c r="NCJ30" s="41"/>
      <c r="NCU30" s="41"/>
      <c r="NDF30" s="41"/>
      <c r="NDQ30" s="41"/>
      <c r="NEB30" s="41"/>
      <c r="NEM30" s="41"/>
      <c r="NEX30" s="41"/>
      <c r="NFI30" s="41"/>
      <c r="NFT30" s="41"/>
      <c r="NGE30" s="41"/>
      <c r="NGP30" s="41"/>
      <c r="NHA30" s="41"/>
      <c r="NHL30" s="41"/>
      <c r="NHW30" s="41"/>
      <c r="NIH30" s="41"/>
      <c r="NIS30" s="41"/>
      <c r="NJD30" s="41"/>
      <c r="NJO30" s="41"/>
      <c r="NJZ30" s="41"/>
      <c r="NKK30" s="41"/>
      <c r="NKV30" s="41"/>
      <c r="NLG30" s="41"/>
      <c r="NLR30" s="41"/>
      <c r="NMC30" s="41"/>
      <c r="NMN30" s="41"/>
      <c r="NMY30" s="41"/>
      <c r="NNJ30" s="41"/>
      <c r="NNU30" s="41"/>
      <c r="NOF30" s="41"/>
      <c r="NOQ30" s="41"/>
      <c r="NPB30" s="41"/>
      <c r="NPM30" s="41"/>
      <c r="NPX30" s="41"/>
      <c r="NQI30" s="41"/>
      <c r="NQT30" s="41"/>
      <c r="NRE30" s="41"/>
      <c r="NRP30" s="41"/>
      <c r="NSA30" s="41"/>
      <c r="NSL30" s="41"/>
      <c r="NSW30" s="41"/>
      <c r="NTH30" s="41"/>
      <c r="NTS30" s="41"/>
      <c r="NUD30" s="41"/>
      <c r="NUO30" s="41"/>
      <c r="NUZ30" s="41"/>
      <c r="NVK30" s="41"/>
      <c r="NVV30" s="41"/>
      <c r="NWG30" s="41"/>
      <c r="NWR30" s="41"/>
      <c r="NXC30" s="41"/>
      <c r="NXN30" s="41"/>
      <c r="NXY30" s="41"/>
      <c r="NYJ30" s="41"/>
      <c r="NYU30" s="41"/>
      <c r="NZF30" s="41"/>
      <c r="NZQ30" s="41"/>
      <c r="OAB30" s="41"/>
      <c r="OAM30" s="41"/>
      <c r="OAX30" s="41"/>
      <c r="OBI30" s="41"/>
      <c r="OBT30" s="41"/>
      <c r="OCE30" s="41"/>
      <c r="OCP30" s="41"/>
      <c r="ODA30" s="41"/>
      <c r="ODL30" s="41"/>
      <c r="ODW30" s="41"/>
      <c r="OEH30" s="41"/>
      <c r="OES30" s="41"/>
      <c r="OFD30" s="41"/>
      <c r="OFO30" s="41"/>
      <c r="OFZ30" s="41"/>
      <c r="OGK30" s="41"/>
      <c r="OGV30" s="41"/>
      <c r="OHG30" s="41"/>
      <c r="OHR30" s="41"/>
      <c r="OIC30" s="41"/>
      <c r="OIN30" s="41"/>
      <c r="OIY30" s="41"/>
      <c r="OJJ30" s="41"/>
      <c r="OJU30" s="41"/>
      <c r="OKF30" s="41"/>
      <c r="OKQ30" s="41"/>
      <c r="OLB30" s="41"/>
      <c r="OLM30" s="41"/>
      <c r="OLX30" s="41"/>
      <c r="OMI30" s="41"/>
      <c r="OMT30" s="41"/>
      <c r="ONE30" s="41"/>
      <c r="ONP30" s="41"/>
      <c r="OOA30" s="41"/>
      <c r="OOL30" s="41"/>
      <c r="OOW30" s="41"/>
      <c r="OPH30" s="41"/>
      <c r="OPS30" s="41"/>
      <c r="OQD30" s="41"/>
      <c r="OQO30" s="41"/>
      <c r="OQZ30" s="41"/>
      <c r="ORK30" s="41"/>
      <c r="ORV30" s="41"/>
      <c r="OSG30" s="41"/>
      <c r="OSR30" s="41"/>
      <c r="OTC30" s="41"/>
      <c r="OTN30" s="41"/>
      <c r="OTY30" s="41"/>
      <c r="OUJ30" s="41"/>
      <c r="OUU30" s="41"/>
      <c r="OVF30" s="41"/>
      <c r="OVQ30" s="41"/>
      <c r="OWB30" s="41"/>
      <c r="OWM30" s="41"/>
      <c r="OWX30" s="41"/>
      <c r="OXI30" s="41"/>
      <c r="OXT30" s="41"/>
      <c r="OYE30" s="41"/>
      <c r="OYP30" s="41"/>
      <c r="OZA30" s="41"/>
      <c r="OZL30" s="41"/>
      <c r="OZW30" s="41"/>
      <c r="PAH30" s="41"/>
      <c r="PAS30" s="41"/>
      <c r="PBD30" s="41"/>
      <c r="PBO30" s="41"/>
      <c r="PBZ30" s="41"/>
      <c r="PCK30" s="41"/>
      <c r="PCV30" s="41"/>
      <c r="PDG30" s="41"/>
      <c r="PDR30" s="41"/>
      <c r="PEC30" s="41"/>
      <c r="PEN30" s="41"/>
      <c r="PEY30" s="41"/>
      <c r="PFJ30" s="41"/>
      <c r="PFU30" s="41"/>
      <c r="PGF30" s="41"/>
      <c r="PGQ30" s="41"/>
      <c r="PHB30" s="41"/>
      <c r="PHM30" s="41"/>
      <c r="PHX30" s="41"/>
      <c r="PII30" s="41"/>
      <c r="PIT30" s="41"/>
      <c r="PJE30" s="41"/>
      <c r="PJP30" s="41"/>
      <c r="PKA30" s="41"/>
      <c r="PKL30" s="41"/>
      <c r="PKW30" s="41"/>
      <c r="PLH30" s="41"/>
      <c r="PLS30" s="41"/>
      <c r="PMD30" s="41"/>
      <c r="PMO30" s="41"/>
      <c r="PMZ30" s="41"/>
      <c r="PNK30" s="41"/>
      <c r="PNV30" s="41"/>
      <c r="POG30" s="41"/>
      <c r="POR30" s="41"/>
      <c r="PPC30" s="41"/>
      <c r="PPN30" s="41"/>
      <c r="PPY30" s="41"/>
      <c r="PQJ30" s="41"/>
      <c r="PQU30" s="41"/>
      <c r="PRF30" s="41"/>
      <c r="PRQ30" s="41"/>
      <c r="PSB30" s="41"/>
      <c r="PSM30" s="41"/>
      <c r="PSX30" s="41"/>
      <c r="PTI30" s="41"/>
      <c r="PTT30" s="41"/>
      <c r="PUE30" s="41"/>
      <c r="PUP30" s="41"/>
      <c r="PVA30" s="41"/>
      <c r="PVL30" s="41"/>
      <c r="PVW30" s="41"/>
      <c r="PWH30" s="41"/>
      <c r="PWS30" s="41"/>
      <c r="PXD30" s="41"/>
      <c r="PXO30" s="41"/>
      <c r="PXZ30" s="41"/>
      <c r="PYK30" s="41"/>
      <c r="PYV30" s="41"/>
      <c r="PZG30" s="41"/>
      <c r="PZR30" s="41"/>
      <c r="QAC30" s="41"/>
      <c r="QAN30" s="41"/>
      <c r="QAY30" s="41"/>
      <c r="QBJ30" s="41"/>
      <c r="QBU30" s="41"/>
      <c r="QCF30" s="41"/>
      <c r="QCQ30" s="41"/>
      <c r="QDB30" s="41"/>
      <c r="QDM30" s="41"/>
      <c r="QDX30" s="41"/>
      <c r="QEI30" s="41"/>
      <c r="QET30" s="41"/>
      <c r="QFE30" s="41"/>
      <c r="QFP30" s="41"/>
      <c r="QGA30" s="41"/>
      <c r="QGL30" s="41"/>
      <c r="QGW30" s="41"/>
      <c r="QHH30" s="41"/>
      <c r="QHS30" s="41"/>
      <c r="QID30" s="41"/>
      <c r="QIO30" s="41"/>
      <c r="QIZ30" s="41"/>
      <c r="QJK30" s="41"/>
      <c r="QJV30" s="41"/>
      <c r="QKG30" s="41"/>
      <c r="QKR30" s="41"/>
      <c r="QLC30" s="41"/>
      <c r="QLN30" s="41"/>
      <c r="QLY30" s="41"/>
      <c r="QMJ30" s="41"/>
      <c r="QMU30" s="41"/>
      <c r="QNF30" s="41"/>
      <c r="QNQ30" s="41"/>
      <c r="QOB30" s="41"/>
      <c r="QOM30" s="41"/>
      <c r="QOX30" s="41"/>
      <c r="QPI30" s="41"/>
      <c r="QPT30" s="41"/>
      <c r="QQE30" s="41"/>
      <c r="QQP30" s="41"/>
      <c r="QRA30" s="41"/>
      <c r="QRL30" s="41"/>
      <c r="QRW30" s="41"/>
      <c r="QSH30" s="41"/>
      <c r="QSS30" s="41"/>
      <c r="QTD30" s="41"/>
      <c r="QTO30" s="41"/>
      <c r="QTZ30" s="41"/>
      <c r="QUK30" s="41"/>
      <c r="QUV30" s="41"/>
      <c r="QVG30" s="41"/>
      <c r="QVR30" s="41"/>
      <c r="QWC30" s="41"/>
      <c r="QWN30" s="41"/>
      <c r="QWY30" s="41"/>
      <c r="QXJ30" s="41"/>
      <c r="QXU30" s="41"/>
      <c r="QYF30" s="41"/>
      <c r="QYQ30" s="41"/>
      <c r="QZB30" s="41"/>
      <c r="QZM30" s="41"/>
      <c r="QZX30" s="41"/>
      <c r="RAI30" s="41"/>
      <c r="RAT30" s="41"/>
      <c r="RBE30" s="41"/>
      <c r="RBP30" s="41"/>
      <c r="RCA30" s="41"/>
      <c r="RCL30" s="41"/>
      <c r="RCW30" s="41"/>
      <c r="RDH30" s="41"/>
      <c r="RDS30" s="41"/>
      <c r="RED30" s="41"/>
      <c r="REO30" s="41"/>
      <c r="REZ30" s="41"/>
      <c r="RFK30" s="41"/>
      <c r="RFV30" s="41"/>
      <c r="RGG30" s="41"/>
      <c r="RGR30" s="41"/>
      <c r="RHC30" s="41"/>
      <c r="RHN30" s="41"/>
      <c r="RHY30" s="41"/>
      <c r="RIJ30" s="41"/>
      <c r="RIU30" s="41"/>
      <c r="RJF30" s="41"/>
      <c r="RJQ30" s="41"/>
      <c r="RKB30" s="41"/>
      <c r="RKM30" s="41"/>
      <c r="RKX30" s="41"/>
      <c r="RLI30" s="41"/>
      <c r="RLT30" s="41"/>
      <c r="RME30" s="41"/>
      <c r="RMP30" s="41"/>
      <c r="RNA30" s="41"/>
      <c r="RNL30" s="41"/>
      <c r="RNW30" s="41"/>
      <c r="ROH30" s="41"/>
      <c r="ROS30" s="41"/>
      <c r="RPD30" s="41"/>
      <c r="RPO30" s="41"/>
      <c r="RPZ30" s="41"/>
      <c r="RQK30" s="41"/>
      <c r="RQV30" s="41"/>
      <c r="RRG30" s="41"/>
      <c r="RRR30" s="41"/>
      <c r="RSC30" s="41"/>
      <c r="RSN30" s="41"/>
      <c r="RSY30" s="41"/>
      <c r="RTJ30" s="41"/>
      <c r="RTU30" s="41"/>
      <c r="RUF30" s="41"/>
      <c r="RUQ30" s="41"/>
      <c r="RVB30" s="41"/>
      <c r="RVM30" s="41"/>
      <c r="RVX30" s="41"/>
      <c r="RWI30" s="41"/>
      <c r="RWT30" s="41"/>
      <c r="RXE30" s="41"/>
      <c r="RXP30" s="41"/>
      <c r="RYA30" s="41"/>
      <c r="RYL30" s="41"/>
      <c r="RYW30" s="41"/>
      <c r="RZH30" s="41"/>
      <c r="RZS30" s="41"/>
      <c r="SAD30" s="41"/>
      <c r="SAO30" s="41"/>
      <c r="SAZ30" s="41"/>
      <c r="SBK30" s="41"/>
      <c r="SBV30" s="41"/>
      <c r="SCG30" s="41"/>
      <c r="SCR30" s="41"/>
      <c r="SDC30" s="41"/>
      <c r="SDN30" s="41"/>
      <c r="SDY30" s="41"/>
      <c r="SEJ30" s="41"/>
      <c r="SEU30" s="41"/>
      <c r="SFF30" s="41"/>
      <c r="SFQ30" s="41"/>
      <c r="SGB30" s="41"/>
      <c r="SGM30" s="41"/>
      <c r="SGX30" s="41"/>
      <c r="SHI30" s="41"/>
      <c r="SHT30" s="41"/>
      <c r="SIE30" s="41"/>
      <c r="SIP30" s="41"/>
      <c r="SJA30" s="41"/>
      <c r="SJL30" s="41"/>
      <c r="SJW30" s="41"/>
      <c r="SKH30" s="41"/>
      <c r="SKS30" s="41"/>
      <c r="SLD30" s="41"/>
      <c r="SLO30" s="41"/>
      <c r="SLZ30" s="41"/>
      <c r="SMK30" s="41"/>
      <c r="SMV30" s="41"/>
      <c r="SNG30" s="41"/>
      <c r="SNR30" s="41"/>
      <c r="SOC30" s="41"/>
      <c r="SON30" s="41"/>
      <c r="SOY30" s="41"/>
      <c r="SPJ30" s="41"/>
      <c r="SPU30" s="41"/>
      <c r="SQF30" s="41"/>
      <c r="SQQ30" s="41"/>
      <c r="SRB30" s="41"/>
      <c r="SRM30" s="41"/>
      <c r="SRX30" s="41"/>
      <c r="SSI30" s="41"/>
      <c r="SST30" s="41"/>
      <c r="STE30" s="41"/>
      <c r="STP30" s="41"/>
      <c r="SUA30" s="41"/>
      <c r="SUL30" s="41"/>
      <c r="SUW30" s="41"/>
      <c r="SVH30" s="41"/>
      <c r="SVS30" s="41"/>
      <c r="SWD30" s="41"/>
      <c r="SWO30" s="41"/>
      <c r="SWZ30" s="41"/>
      <c r="SXK30" s="41"/>
      <c r="SXV30" s="41"/>
      <c r="SYG30" s="41"/>
      <c r="SYR30" s="41"/>
      <c r="SZC30" s="41"/>
      <c r="SZN30" s="41"/>
      <c r="SZY30" s="41"/>
      <c r="TAJ30" s="41"/>
      <c r="TAU30" s="41"/>
      <c r="TBF30" s="41"/>
      <c r="TBQ30" s="41"/>
      <c r="TCB30" s="41"/>
      <c r="TCM30" s="41"/>
      <c r="TCX30" s="41"/>
      <c r="TDI30" s="41"/>
      <c r="TDT30" s="41"/>
      <c r="TEE30" s="41"/>
      <c r="TEP30" s="41"/>
      <c r="TFA30" s="41"/>
      <c r="TFL30" s="41"/>
      <c r="TFW30" s="41"/>
      <c r="TGH30" s="41"/>
      <c r="TGS30" s="41"/>
      <c r="THD30" s="41"/>
      <c r="THO30" s="41"/>
      <c r="THZ30" s="41"/>
      <c r="TIK30" s="41"/>
      <c r="TIV30" s="41"/>
      <c r="TJG30" s="41"/>
      <c r="TJR30" s="41"/>
      <c r="TKC30" s="41"/>
      <c r="TKN30" s="41"/>
      <c r="TKY30" s="41"/>
      <c r="TLJ30" s="41"/>
      <c r="TLU30" s="41"/>
      <c r="TMF30" s="41"/>
      <c r="TMQ30" s="41"/>
      <c r="TNB30" s="41"/>
      <c r="TNM30" s="41"/>
      <c r="TNX30" s="41"/>
      <c r="TOI30" s="41"/>
      <c r="TOT30" s="41"/>
      <c r="TPE30" s="41"/>
      <c r="TPP30" s="41"/>
      <c r="TQA30" s="41"/>
      <c r="TQL30" s="41"/>
      <c r="TQW30" s="41"/>
      <c r="TRH30" s="41"/>
      <c r="TRS30" s="41"/>
      <c r="TSD30" s="41"/>
      <c r="TSO30" s="41"/>
      <c r="TSZ30" s="41"/>
      <c r="TTK30" s="41"/>
      <c r="TTV30" s="41"/>
      <c r="TUG30" s="41"/>
      <c r="TUR30" s="41"/>
      <c r="TVC30" s="41"/>
      <c r="TVN30" s="41"/>
      <c r="TVY30" s="41"/>
      <c r="TWJ30" s="41"/>
      <c r="TWU30" s="41"/>
      <c r="TXF30" s="41"/>
      <c r="TXQ30" s="41"/>
      <c r="TYB30" s="41"/>
      <c r="TYM30" s="41"/>
      <c r="TYX30" s="41"/>
      <c r="TZI30" s="41"/>
      <c r="TZT30" s="41"/>
      <c r="UAE30" s="41"/>
      <c r="UAP30" s="41"/>
      <c r="UBA30" s="41"/>
      <c r="UBL30" s="41"/>
      <c r="UBW30" s="41"/>
      <c r="UCH30" s="41"/>
      <c r="UCS30" s="41"/>
      <c r="UDD30" s="41"/>
      <c r="UDO30" s="41"/>
      <c r="UDZ30" s="41"/>
      <c r="UEK30" s="41"/>
      <c r="UEV30" s="41"/>
      <c r="UFG30" s="41"/>
      <c r="UFR30" s="41"/>
      <c r="UGC30" s="41"/>
      <c r="UGN30" s="41"/>
      <c r="UGY30" s="41"/>
      <c r="UHJ30" s="41"/>
      <c r="UHU30" s="41"/>
      <c r="UIF30" s="41"/>
      <c r="UIQ30" s="41"/>
      <c r="UJB30" s="41"/>
      <c r="UJM30" s="41"/>
      <c r="UJX30" s="41"/>
      <c r="UKI30" s="41"/>
      <c r="UKT30" s="41"/>
      <c r="ULE30" s="41"/>
      <c r="ULP30" s="41"/>
      <c r="UMA30" s="41"/>
      <c r="UML30" s="41"/>
      <c r="UMW30" s="41"/>
      <c r="UNH30" s="41"/>
      <c r="UNS30" s="41"/>
      <c r="UOD30" s="41"/>
      <c r="UOO30" s="41"/>
      <c r="UOZ30" s="41"/>
      <c r="UPK30" s="41"/>
      <c r="UPV30" s="41"/>
      <c r="UQG30" s="41"/>
      <c r="UQR30" s="41"/>
      <c r="URC30" s="41"/>
      <c r="URN30" s="41"/>
      <c r="URY30" s="41"/>
      <c r="USJ30" s="41"/>
      <c r="USU30" s="41"/>
      <c r="UTF30" s="41"/>
      <c r="UTQ30" s="41"/>
      <c r="UUB30" s="41"/>
      <c r="UUM30" s="41"/>
      <c r="UUX30" s="41"/>
      <c r="UVI30" s="41"/>
      <c r="UVT30" s="41"/>
      <c r="UWE30" s="41"/>
      <c r="UWP30" s="41"/>
      <c r="UXA30" s="41"/>
      <c r="UXL30" s="41"/>
      <c r="UXW30" s="41"/>
      <c r="UYH30" s="41"/>
      <c r="UYS30" s="41"/>
      <c r="UZD30" s="41"/>
      <c r="UZO30" s="41"/>
      <c r="UZZ30" s="41"/>
      <c r="VAK30" s="41"/>
      <c r="VAV30" s="41"/>
      <c r="VBG30" s="41"/>
      <c r="VBR30" s="41"/>
      <c r="VCC30" s="41"/>
      <c r="VCN30" s="41"/>
      <c r="VCY30" s="41"/>
      <c r="VDJ30" s="41"/>
      <c r="VDU30" s="41"/>
      <c r="VEF30" s="41"/>
      <c r="VEQ30" s="41"/>
      <c r="VFB30" s="41"/>
      <c r="VFM30" s="41"/>
      <c r="VFX30" s="41"/>
      <c r="VGI30" s="41"/>
      <c r="VGT30" s="41"/>
      <c r="VHE30" s="41"/>
      <c r="VHP30" s="41"/>
      <c r="VIA30" s="41"/>
      <c r="VIL30" s="41"/>
      <c r="VIW30" s="41"/>
      <c r="VJH30" s="41"/>
      <c r="VJS30" s="41"/>
      <c r="VKD30" s="41"/>
      <c r="VKO30" s="41"/>
      <c r="VKZ30" s="41"/>
      <c r="VLK30" s="41"/>
      <c r="VLV30" s="41"/>
      <c r="VMG30" s="41"/>
      <c r="VMR30" s="41"/>
      <c r="VNC30" s="41"/>
      <c r="VNN30" s="41"/>
      <c r="VNY30" s="41"/>
      <c r="VOJ30" s="41"/>
      <c r="VOU30" s="41"/>
      <c r="VPF30" s="41"/>
      <c r="VPQ30" s="41"/>
      <c r="VQB30" s="41"/>
      <c r="VQM30" s="41"/>
      <c r="VQX30" s="41"/>
      <c r="VRI30" s="41"/>
      <c r="VRT30" s="41"/>
      <c r="VSE30" s="41"/>
      <c r="VSP30" s="41"/>
      <c r="VTA30" s="41"/>
      <c r="VTL30" s="41"/>
      <c r="VTW30" s="41"/>
      <c r="VUH30" s="41"/>
      <c r="VUS30" s="41"/>
      <c r="VVD30" s="41"/>
      <c r="VVO30" s="41"/>
      <c r="VVZ30" s="41"/>
      <c r="VWK30" s="41"/>
      <c r="VWV30" s="41"/>
      <c r="VXG30" s="41"/>
      <c r="VXR30" s="41"/>
      <c r="VYC30" s="41"/>
      <c r="VYN30" s="41"/>
      <c r="VYY30" s="41"/>
      <c r="VZJ30" s="41"/>
      <c r="VZU30" s="41"/>
      <c r="WAF30" s="41"/>
      <c r="WAQ30" s="41"/>
      <c r="WBB30" s="41"/>
      <c r="WBM30" s="41"/>
      <c r="WBX30" s="41"/>
      <c r="WCI30" s="41"/>
      <c r="WCT30" s="41"/>
      <c r="WDE30" s="41"/>
      <c r="WDP30" s="41"/>
      <c r="WEA30" s="41"/>
      <c r="WEL30" s="41"/>
      <c r="WEW30" s="41"/>
      <c r="WFH30" s="41"/>
      <c r="WFS30" s="41"/>
      <c r="WGD30" s="41"/>
      <c r="WGO30" s="41"/>
      <c r="WGZ30" s="41"/>
      <c r="WHK30" s="41"/>
      <c r="WHV30" s="41"/>
      <c r="WIG30" s="41"/>
      <c r="WIR30" s="41"/>
      <c r="WJC30" s="41"/>
      <c r="WJN30" s="41"/>
      <c r="WJY30" s="41"/>
      <c r="WKJ30" s="41"/>
      <c r="WKU30" s="41"/>
      <c r="WLF30" s="41"/>
      <c r="WLQ30" s="41"/>
      <c r="WMB30" s="41"/>
      <c r="WMM30" s="41"/>
      <c r="WMX30" s="41"/>
      <c r="WNI30" s="41"/>
      <c r="WNT30" s="41"/>
      <c r="WOE30" s="41"/>
      <c r="WOP30" s="41"/>
      <c r="WPA30" s="41"/>
      <c r="WPL30" s="41"/>
      <c r="WPW30" s="41"/>
      <c r="WQH30" s="41"/>
      <c r="WQS30" s="41"/>
      <c r="WRD30" s="41"/>
      <c r="WRO30" s="41"/>
      <c r="WRZ30" s="41"/>
      <c r="WSK30" s="41"/>
      <c r="WSV30" s="41"/>
      <c r="WTG30" s="41"/>
      <c r="WTR30" s="41"/>
      <c r="WUC30" s="41"/>
      <c r="WUN30" s="41"/>
      <c r="WUY30" s="41"/>
      <c r="WVJ30" s="41"/>
      <c r="WVU30" s="41"/>
      <c r="WWF30" s="41"/>
      <c r="WWQ30" s="41"/>
      <c r="WXB30" s="41"/>
      <c r="WXM30" s="41"/>
      <c r="WXX30" s="41"/>
      <c r="WYI30" s="41"/>
      <c r="WYT30" s="41"/>
      <c r="WZE30" s="41"/>
      <c r="WZP30" s="41"/>
      <c r="XAA30" s="41"/>
      <c r="XAL30" s="41"/>
      <c r="XAW30" s="41"/>
      <c r="XBH30" s="41"/>
      <c r="XBS30" s="41"/>
      <c r="XCD30" s="41"/>
      <c r="XCO30" s="41"/>
      <c r="XCZ30" s="41"/>
      <c r="XDK30" s="41"/>
      <c r="XDV30" s="41"/>
      <c r="XEG30" s="41"/>
      <c r="XER30" s="41"/>
      <c r="XFC30" s="41"/>
    </row>
    <row r="31" spans="1:1016 1027:2039 2050:3062 3073:4096 4107:5119 5130:6142 6153:7165 7176:8188 8199:9211 9222:10234 10245:11257 11268:12280 12291:13303 13314:14326 14337:15360 15371:16383" s="40" customFormat="1" ht="17.25" customHeight="1">
      <c r="F31" s="41"/>
      <c r="G31" s="176" t="s">
        <v>328</v>
      </c>
      <c r="H31" s="177" t="s">
        <v>329</v>
      </c>
      <c r="I31" s="177" t="s">
        <v>330</v>
      </c>
      <c r="J31" s="177" t="s">
        <v>328</v>
      </c>
      <c r="K31" s="177" t="s">
        <v>329</v>
      </c>
      <c r="L31" s="177" t="s">
        <v>330</v>
      </c>
      <c r="M31" s="218"/>
      <c r="N31"/>
      <c r="O31" s="130"/>
      <c r="P31" s="221"/>
      <c r="Q31" s="221"/>
      <c r="R31" s="221"/>
      <c r="S31" s="221"/>
      <c r="T31" s="221"/>
      <c r="U31" s="204"/>
      <c r="V31" s="204"/>
      <c r="W31" s="204"/>
      <c r="X31" s="204"/>
      <c r="Y31" s="204"/>
      <c r="Z31" s="204"/>
      <c r="AA31" t="s">
        <v>299</v>
      </c>
      <c r="AK31" s="41"/>
      <c r="AV31" s="41"/>
      <c r="BG31" s="41"/>
      <c r="BR31" s="41"/>
      <c r="CC31" s="41"/>
      <c r="CN31" s="41"/>
      <c r="CY31" s="41"/>
      <c r="DJ31" s="41"/>
      <c r="DU31" s="41"/>
      <c r="EF31" s="41"/>
      <c r="EQ31" s="41"/>
      <c r="FB31" s="41"/>
      <c r="FM31" s="41"/>
      <c r="FX31" s="41"/>
      <c r="GI31" s="41"/>
      <c r="GT31" s="41"/>
      <c r="HE31" s="41"/>
      <c r="HP31" s="41"/>
      <c r="IA31" s="41"/>
      <c r="IL31" s="41"/>
      <c r="IW31" s="41"/>
      <c r="JH31" s="41"/>
      <c r="JS31" s="41"/>
      <c r="KD31" s="41"/>
      <c r="KO31" s="41"/>
      <c r="KZ31" s="41"/>
      <c r="LK31" s="41"/>
      <c r="LV31" s="41"/>
      <c r="MG31" s="41"/>
      <c r="MR31" s="41"/>
      <c r="NC31" s="41"/>
      <c r="NN31" s="41"/>
      <c r="NY31" s="41"/>
      <c r="OJ31" s="41"/>
      <c r="OU31" s="41"/>
      <c r="PF31" s="41"/>
      <c r="PQ31" s="41"/>
      <c r="QB31" s="41"/>
      <c r="QM31" s="41"/>
      <c r="QX31" s="41"/>
      <c r="RI31" s="41"/>
      <c r="RT31" s="41"/>
      <c r="SE31" s="41"/>
      <c r="SP31" s="41"/>
      <c r="TA31" s="41"/>
      <c r="TL31" s="41"/>
      <c r="TW31" s="41"/>
      <c r="UH31" s="41"/>
      <c r="US31" s="41"/>
      <c r="VD31" s="41"/>
      <c r="VO31" s="41"/>
      <c r="VZ31" s="41"/>
      <c r="WK31" s="41"/>
      <c r="WV31" s="41"/>
      <c r="XG31" s="41"/>
      <c r="XR31" s="41"/>
      <c r="YC31" s="41"/>
      <c r="YN31" s="41"/>
      <c r="YY31" s="41"/>
      <c r="ZJ31" s="41"/>
      <c r="ZU31" s="41"/>
      <c r="AAF31" s="41"/>
      <c r="AAQ31" s="41"/>
      <c r="ABB31" s="41"/>
      <c r="ABM31" s="41"/>
      <c r="ABX31" s="41"/>
      <c r="ACI31" s="41"/>
      <c r="ACT31" s="41"/>
      <c r="ADE31" s="41"/>
      <c r="ADP31" s="41"/>
      <c r="AEA31" s="41"/>
      <c r="AEL31" s="41"/>
      <c r="AEW31" s="41"/>
      <c r="AFH31" s="41"/>
      <c r="AFS31" s="41"/>
      <c r="AGD31" s="41"/>
      <c r="AGO31" s="41"/>
      <c r="AGZ31" s="41"/>
      <c r="AHK31" s="41"/>
      <c r="AHV31" s="41"/>
      <c r="AIG31" s="41"/>
      <c r="AIR31" s="41"/>
      <c r="AJC31" s="41"/>
      <c r="AJN31" s="41"/>
      <c r="AJY31" s="41"/>
      <c r="AKJ31" s="41"/>
      <c r="AKU31" s="41"/>
      <c r="ALF31" s="41"/>
      <c r="ALQ31" s="41"/>
      <c r="AMB31" s="41"/>
      <c r="AMM31" s="41"/>
      <c r="AMX31" s="41"/>
      <c r="ANI31" s="41"/>
      <c r="ANT31" s="41"/>
      <c r="AOE31" s="41"/>
      <c r="AOP31" s="41"/>
      <c r="APA31" s="41"/>
      <c r="APL31" s="41"/>
      <c r="APW31" s="41"/>
      <c r="AQH31" s="41"/>
      <c r="AQS31" s="41"/>
      <c r="ARD31" s="41"/>
      <c r="ARO31" s="41"/>
      <c r="ARZ31" s="41"/>
      <c r="ASK31" s="41"/>
      <c r="ASV31" s="41"/>
      <c r="ATG31" s="41"/>
      <c r="ATR31" s="41"/>
      <c r="AUC31" s="41"/>
      <c r="AUN31" s="41"/>
      <c r="AUY31" s="41"/>
      <c r="AVJ31" s="41"/>
      <c r="AVU31" s="41"/>
      <c r="AWF31" s="41"/>
      <c r="AWQ31" s="41"/>
      <c r="AXB31" s="41"/>
      <c r="AXM31" s="41"/>
      <c r="AXX31" s="41"/>
      <c r="AYI31" s="41"/>
      <c r="AYT31" s="41"/>
      <c r="AZE31" s="41"/>
      <c r="AZP31" s="41"/>
      <c r="BAA31" s="41"/>
      <c r="BAL31" s="41"/>
      <c r="BAW31" s="41"/>
      <c r="BBH31" s="41"/>
      <c r="BBS31" s="41"/>
      <c r="BCD31" s="41"/>
      <c r="BCO31" s="41"/>
      <c r="BCZ31" s="41"/>
      <c r="BDK31" s="41"/>
      <c r="BDV31" s="41"/>
      <c r="BEG31" s="41"/>
      <c r="BER31" s="41"/>
      <c r="BFC31" s="41"/>
      <c r="BFN31" s="41"/>
      <c r="BFY31" s="41"/>
      <c r="BGJ31" s="41"/>
      <c r="BGU31" s="41"/>
      <c r="BHF31" s="41"/>
      <c r="BHQ31" s="41"/>
      <c r="BIB31" s="41"/>
      <c r="BIM31" s="41"/>
      <c r="BIX31" s="41"/>
      <c r="BJI31" s="41"/>
      <c r="BJT31" s="41"/>
      <c r="BKE31" s="41"/>
      <c r="BKP31" s="41"/>
      <c r="BLA31" s="41"/>
      <c r="BLL31" s="41"/>
      <c r="BLW31" s="41"/>
      <c r="BMH31" s="41"/>
      <c r="BMS31" s="41"/>
      <c r="BND31" s="41"/>
      <c r="BNO31" s="41"/>
      <c r="BNZ31" s="41"/>
      <c r="BOK31" s="41"/>
      <c r="BOV31" s="41"/>
      <c r="BPG31" s="41"/>
      <c r="BPR31" s="41"/>
      <c r="BQC31" s="41"/>
      <c r="BQN31" s="41"/>
      <c r="BQY31" s="41"/>
      <c r="BRJ31" s="41"/>
      <c r="BRU31" s="41"/>
      <c r="BSF31" s="41"/>
      <c r="BSQ31" s="41"/>
      <c r="BTB31" s="41"/>
      <c r="BTM31" s="41"/>
      <c r="BTX31" s="41"/>
      <c r="BUI31" s="41"/>
      <c r="BUT31" s="41"/>
      <c r="BVE31" s="41"/>
      <c r="BVP31" s="41"/>
      <c r="BWA31" s="41"/>
      <c r="BWL31" s="41"/>
      <c r="BWW31" s="41"/>
      <c r="BXH31" s="41"/>
      <c r="BXS31" s="41"/>
      <c r="BYD31" s="41"/>
      <c r="BYO31" s="41"/>
      <c r="BYZ31" s="41"/>
      <c r="BZK31" s="41"/>
      <c r="BZV31" s="41"/>
      <c r="CAG31" s="41"/>
      <c r="CAR31" s="41"/>
      <c r="CBC31" s="41"/>
      <c r="CBN31" s="41"/>
      <c r="CBY31" s="41"/>
      <c r="CCJ31" s="41"/>
      <c r="CCU31" s="41"/>
      <c r="CDF31" s="41"/>
      <c r="CDQ31" s="41"/>
      <c r="CEB31" s="41"/>
      <c r="CEM31" s="41"/>
      <c r="CEX31" s="41"/>
      <c r="CFI31" s="41"/>
      <c r="CFT31" s="41"/>
      <c r="CGE31" s="41"/>
      <c r="CGP31" s="41"/>
      <c r="CHA31" s="41"/>
      <c r="CHL31" s="41"/>
      <c r="CHW31" s="41"/>
      <c r="CIH31" s="41"/>
      <c r="CIS31" s="41"/>
      <c r="CJD31" s="41"/>
      <c r="CJO31" s="41"/>
      <c r="CJZ31" s="41"/>
      <c r="CKK31" s="41"/>
      <c r="CKV31" s="41"/>
      <c r="CLG31" s="41"/>
      <c r="CLR31" s="41"/>
      <c r="CMC31" s="41"/>
      <c r="CMN31" s="41"/>
      <c r="CMY31" s="41"/>
      <c r="CNJ31" s="41"/>
      <c r="CNU31" s="41"/>
      <c r="COF31" s="41"/>
      <c r="COQ31" s="41"/>
      <c r="CPB31" s="41"/>
      <c r="CPM31" s="41"/>
      <c r="CPX31" s="41"/>
      <c r="CQI31" s="41"/>
      <c r="CQT31" s="41"/>
      <c r="CRE31" s="41"/>
      <c r="CRP31" s="41"/>
      <c r="CSA31" s="41"/>
      <c r="CSL31" s="41"/>
      <c r="CSW31" s="41"/>
      <c r="CTH31" s="41"/>
      <c r="CTS31" s="41"/>
      <c r="CUD31" s="41"/>
      <c r="CUO31" s="41"/>
      <c r="CUZ31" s="41"/>
      <c r="CVK31" s="41"/>
      <c r="CVV31" s="41"/>
      <c r="CWG31" s="41"/>
      <c r="CWR31" s="41"/>
      <c r="CXC31" s="41"/>
      <c r="CXN31" s="41"/>
      <c r="CXY31" s="41"/>
      <c r="CYJ31" s="41"/>
      <c r="CYU31" s="41"/>
      <c r="CZF31" s="41"/>
      <c r="CZQ31" s="41"/>
      <c r="DAB31" s="41"/>
      <c r="DAM31" s="41"/>
      <c r="DAX31" s="41"/>
      <c r="DBI31" s="41"/>
      <c r="DBT31" s="41"/>
      <c r="DCE31" s="41"/>
      <c r="DCP31" s="41"/>
      <c r="DDA31" s="41"/>
      <c r="DDL31" s="41"/>
      <c r="DDW31" s="41"/>
      <c r="DEH31" s="41"/>
      <c r="DES31" s="41"/>
      <c r="DFD31" s="41"/>
      <c r="DFO31" s="41"/>
      <c r="DFZ31" s="41"/>
      <c r="DGK31" s="41"/>
      <c r="DGV31" s="41"/>
      <c r="DHG31" s="41"/>
      <c r="DHR31" s="41"/>
      <c r="DIC31" s="41"/>
      <c r="DIN31" s="41"/>
      <c r="DIY31" s="41"/>
      <c r="DJJ31" s="41"/>
      <c r="DJU31" s="41"/>
      <c r="DKF31" s="41"/>
      <c r="DKQ31" s="41"/>
      <c r="DLB31" s="41"/>
      <c r="DLM31" s="41"/>
      <c r="DLX31" s="41"/>
      <c r="DMI31" s="41"/>
      <c r="DMT31" s="41"/>
      <c r="DNE31" s="41"/>
      <c r="DNP31" s="41"/>
      <c r="DOA31" s="41"/>
      <c r="DOL31" s="41"/>
      <c r="DOW31" s="41"/>
      <c r="DPH31" s="41"/>
      <c r="DPS31" s="41"/>
      <c r="DQD31" s="41"/>
      <c r="DQO31" s="41"/>
      <c r="DQZ31" s="41"/>
      <c r="DRK31" s="41"/>
      <c r="DRV31" s="41"/>
      <c r="DSG31" s="41"/>
      <c r="DSR31" s="41"/>
      <c r="DTC31" s="41"/>
      <c r="DTN31" s="41"/>
      <c r="DTY31" s="41"/>
      <c r="DUJ31" s="41"/>
      <c r="DUU31" s="41"/>
      <c r="DVF31" s="41"/>
      <c r="DVQ31" s="41"/>
      <c r="DWB31" s="41"/>
      <c r="DWM31" s="41"/>
      <c r="DWX31" s="41"/>
      <c r="DXI31" s="41"/>
      <c r="DXT31" s="41"/>
      <c r="DYE31" s="41"/>
      <c r="DYP31" s="41"/>
      <c r="DZA31" s="41"/>
      <c r="DZL31" s="41"/>
      <c r="DZW31" s="41"/>
      <c r="EAH31" s="41"/>
      <c r="EAS31" s="41"/>
      <c r="EBD31" s="41"/>
      <c r="EBO31" s="41"/>
      <c r="EBZ31" s="41"/>
      <c r="ECK31" s="41"/>
      <c r="ECV31" s="41"/>
      <c r="EDG31" s="41"/>
      <c r="EDR31" s="41"/>
      <c r="EEC31" s="41"/>
      <c r="EEN31" s="41"/>
      <c r="EEY31" s="41"/>
      <c r="EFJ31" s="41"/>
      <c r="EFU31" s="41"/>
      <c r="EGF31" s="41"/>
      <c r="EGQ31" s="41"/>
      <c r="EHB31" s="41"/>
      <c r="EHM31" s="41"/>
      <c r="EHX31" s="41"/>
      <c r="EII31" s="41"/>
      <c r="EIT31" s="41"/>
      <c r="EJE31" s="41"/>
      <c r="EJP31" s="41"/>
      <c r="EKA31" s="41"/>
      <c r="EKL31" s="41"/>
      <c r="EKW31" s="41"/>
      <c r="ELH31" s="41"/>
      <c r="ELS31" s="41"/>
      <c r="EMD31" s="41"/>
      <c r="EMO31" s="41"/>
      <c r="EMZ31" s="41"/>
      <c r="ENK31" s="41"/>
      <c r="ENV31" s="41"/>
      <c r="EOG31" s="41"/>
      <c r="EOR31" s="41"/>
      <c r="EPC31" s="41"/>
      <c r="EPN31" s="41"/>
      <c r="EPY31" s="41"/>
      <c r="EQJ31" s="41"/>
      <c r="EQU31" s="41"/>
      <c r="ERF31" s="41"/>
      <c r="ERQ31" s="41"/>
      <c r="ESB31" s="41"/>
      <c r="ESM31" s="41"/>
      <c r="ESX31" s="41"/>
      <c r="ETI31" s="41"/>
      <c r="ETT31" s="41"/>
      <c r="EUE31" s="41"/>
      <c r="EUP31" s="41"/>
      <c r="EVA31" s="41"/>
      <c r="EVL31" s="41"/>
      <c r="EVW31" s="41"/>
      <c r="EWH31" s="41"/>
      <c r="EWS31" s="41"/>
      <c r="EXD31" s="41"/>
      <c r="EXO31" s="41"/>
      <c r="EXZ31" s="41"/>
      <c r="EYK31" s="41"/>
      <c r="EYV31" s="41"/>
      <c r="EZG31" s="41"/>
      <c r="EZR31" s="41"/>
      <c r="FAC31" s="41"/>
      <c r="FAN31" s="41"/>
      <c r="FAY31" s="41"/>
      <c r="FBJ31" s="41"/>
      <c r="FBU31" s="41"/>
      <c r="FCF31" s="41"/>
      <c r="FCQ31" s="41"/>
      <c r="FDB31" s="41"/>
      <c r="FDM31" s="41"/>
      <c r="FDX31" s="41"/>
      <c r="FEI31" s="41"/>
      <c r="FET31" s="41"/>
      <c r="FFE31" s="41"/>
      <c r="FFP31" s="41"/>
      <c r="FGA31" s="41"/>
      <c r="FGL31" s="41"/>
      <c r="FGW31" s="41"/>
      <c r="FHH31" s="41"/>
      <c r="FHS31" s="41"/>
      <c r="FID31" s="41"/>
      <c r="FIO31" s="41"/>
      <c r="FIZ31" s="41"/>
      <c r="FJK31" s="41"/>
      <c r="FJV31" s="41"/>
      <c r="FKG31" s="41"/>
      <c r="FKR31" s="41"/>
      <c r="FLC31" s="41"/>
      <c r="FLN31" s="41"/>
      <c r="FLY31" s="41"/>
      <c r="FMJ31" s="41"/>
      <c r="FMU31" s="41"/>
      <c r="FNF31" s="41"/>
      <c r="FNQ31" s="41"/>
      <c r="FOB31" s="41"/>
      <c r="FOM31" s="41"/>
      <c r="FOX31" s="41"/>
      <c r="FPI31" s="41"/>
      <c r="FPT31" s="41"/>
      <c r="FQE31" s="41"/>
      <c r="FQP31" s="41"/>
      <c r="FRA31" s="41"/>
      <c r="FRL31" s="41"/>
      <c r="FRW31" s="41"/>
      <c r="FSH31" s="41"/>
      <c r="FSS31" s="41"/>
      <c r="FTD31" s="41"/>
      <c r="FTO31" s="41"/>
      <c r="FTZ31" s="41"/>
      <c r="FUK31" s="41"/>
      <c r="FUV31" s="41"/>
      <c r="FVG31" s="41"/>
      <c r="FVR31" s="41"/>
      <c r="FWC31" s="41"/>
      <c r="FWN31" s="41"/>
      <c r="FWY31" s="41"/>
      <c r="FXJ31" s="41"/>
      <c r="FXU31" s="41"/>
      <c r="FYF31" s="41"/>
      <c r="FYQ31" s="41"/>
      <c r="FZB31" s="41"/>
      <c r="FZM31" s="41"/>
      <c r="FZX31" s="41"/>
      <c r="GAI31" s="41"/>
      <c r="GAT31" s="41"/>
      <c r="GBE31" s="41"/>
      <c r="GBP31" s="41"/>
      <c r="GCA31" s="41"/>
      <c r="GCL31" s="41"/>
      <c r="GCW31" s="41"/>
      <c r="GDH31" s="41"/>
      <c r="GDS31" s="41"/>
      <c r="GED31" s="41"/>
      <c r="GEO31" s="41"/>
      <c r="GEZ31" s="41"/>
      <c r="GFK31" s="41"/>
      <c r="GFV31" s="41"/>
      <c r="GGG31" s="41"/>
      <c r="GGR31" s="41"/>
      <c r="GHC31" s="41"/>
      <c r="GHN31" s="41"/>
      <c r="GHY31" s="41"/>
      <c r="GIJ31" s="41"/>
      <c r="GIU31" s="41"/>
      <c r="GJF31" s="41"/>
      <c r="GJQ31" s="41"/>
      <c r="GKB31" s="41"/>
      <c r="GKM31" s="41"/>
      <c r="GKX31" s="41"/>
      <c r="GLI31" s="41"/>
      <c r="GLT31" s="41"/>
      <c r="GME31" s="41"/>
      <c r="GMP31" s="41"/>
      <c r="GNA31" s="41"/>
      <c r="GNL31" s="41"/>
      <c r="GNW31" s="41"/>
      <c r="GOH31" s="41"/>
      <c r="GOS31" s="41"/>
      <c r="GPD31" s="41"/>
      <c r="GPO31" s="41"/>
      <c r="GPZ31" s="41"/>
      <c r="GQK31" s="41"/>
      <c r="GQV31" s="41"/>
      <c r="GRG31" s="41"/>
      <c r="GRR31" s="41"/>
      <c r="GSC31" s="41"/>
      <c r="GSN31" s="41"/>
      <c r="GSY31" s="41"/>
      <c r="GTJ31" s="41"/>
      <c r="GTU31" s="41"/>
      <c r="GUF31" s="41"/>
      <c r="GUQ31" s="41"/>
      <c r="GVB31" s="41"/>
      <c r="GVM31" s="41"/>
      <c r="GVX31" s="41"/>
      <c r="GWI31" s="41"/>
      <c r="GWT31" s="41"/>
      <c r="GXE31" s="41"/>
      <c r="GXP31" s="41"/>
      <c r="GYA31" s="41"/>
      <c r="GYL31" s="41"/>
      <c r="GYW31" s="41"/>
      <c r="GZH31" s="41"/>
      <c r="GZS31" s="41"/>
      <c r="HAD31" s="41"/>
      <c r="HAO31" s="41"/>
      <c r="HAZ31" s="41"/>
      <c r="HBK31" s="41"/>
      <c r="HBV31" s="41"/>
      <c r="HCG31" s="41"/>
      <c r="HCR31" s="41"/>
      <c r="HDC31" s="41"/>
      <c r="HDN31" s="41"/>
      <c r="HDY31" s="41"/>
      <c r="HEJ31" s="41"/>
      <c r="HEU31" s="41"/>
      <c r="HFF31" s="41"/>
      <c r="HFQ31" s="41"/>
      <c r="HGB31" s="41"/>
      <c r="HGM31" s="41"/>
      <c r="HGX31" s="41"/>
      <c r="HHI31" s="41"/>
      <c r="HHT31" s="41"/>
      <c r="HIE31" s="41"/>
      <c r="HIP31" s="41"/>
      <c r="HJA31" s="41"/>
      <c r="HJL31" s="41"/>
      <c r="HJW31" s="41"/>
      <c r="HKH31" s="41"/>
      <c r="HKS31" s="41"/>
      <c r="HLD31" s="41"/>
      <c r="HLO31" s="41"/>
      <c r="HLZ31" s="41"/>
      <c r="HMK31" s="41"/>
      <c r="HMV31" s="41"/>
      <c r="HNG31" s="41"/>
      <c r="HNR31" s="41"/>
      <c r="HOC31" s="41"/>
      <c r="HON31" s="41"/>
      <c r="HOY31" s="41"/>
      <c r="HPJ31" s="41"/>
      <c r="HPU31" s="41"/>
      <c r="HQF31" s="41"/>
      <c r="HQQ31" s="41"/>
      <c r="HRB31" s="41"/>
      <c r="HRM31" s="41"/>
      <c r="HRX31" s="41"/>
      <c r="HSI31" s="41"/>
      <c r="HST31" s="41"/>
      <c r="HTE31" s="41"/>
      <c r="HTP31" s="41"/>
      <c r="HUA31" s="41"/>
      <c r="HUL31" s="41"/>
      <c r="HUW31" s="41"/>
      <c r="HVH31" s="41"/>
      <c r="HVS31" s="41"/>
      <c r="HWD31" s="41"/>
      <c r="HWO31" s="41"/>
      <c r="HWZ31" s="41"/>
      <c r="HXK31" s="41"/>
      <c r="HXV31" s="41"/>
      <c r="HYG31" s="41"/>
      <c r="HYR31" s="41"/>
      <c r="HZC31" s="41"/>
      <c r="HZN31" s="41"/>
      <c r="HZY31" s="41"/>
      <c r="IAJ31" s="41"/>
      <c r="IAU31" s="41"/>
      <c r="IBF31" s="41"/>
      <c r="IBQ31" s="41"/>
      <c r="ICB31" s="41"/>
      <c r="ICM31" s="41"/>
      <c r="ICX31" s="41"/>
      <c r="IDI31" s="41"/>
      <c r="IDT31" s="41"/>
      <c r="IEE31" s="41"/>
      <c r="IEP31" s="41"/>
      <c r="IFA31" s="41"/>
      <c r="IFL31" s="41"/>
      <c r="IFW31" s="41"/>
      <c r="IGH31" s="41"/>
      <c r="IGS31" s="41"/>
      <c r="IHD31" s="41"/>
      <c r="IHO31" s="41"/>
      <c r="IHZ31" s="41"/>
      <c r="IIK31" s="41"/>
      <c r="IIV31" s="41"/>
      <c r="IJG31" s="41"/>
      <c r="IJR31" s="41"/>
      <c r="IKC31" s="41"/>
      <c r="IKN31" s="41"/>
      <c r="IKY31" s="41"/>
      <c r="ILJ31" s="41"/>
      <c r="ILU31" s="41"/>
      <c r="IMF31" s="41"/>
      <c r="IMQ31" s="41"/>
      <c r="INB31" s="41"/>
      <c r="INM31" s="41"/>
      <c r="INX31" s="41"/>
      <c r="IOI31" s="41"/>
      <c r="IOT31" s="41"/>
      <c r="IPE31" s="41"/>
      <c r="IPP31" s="41"/>
      <c r="IQA31" s="41"/>
      <c r="IQL31" s="41"/>
      <c r="IQW31" s="41"/>
      <c r="IRH31" s="41"/>
      <c r="IRS31" s="41"/>
      <c r="ISD31" s="41"/>
      <c r="ISO31" s="41"/>
      <c r="ISZ31" s="41"/>
      <c r="ITK31" s="41"/>
      <c r="ITV31" s="41"/>
      <c r="IUG31" s="41"/>
      <c r="IUR31" s="41"/>
      <c r="IVC31" s="41"/>
      <c r="IVN31" s="41"/>
      <c r="IVY31" s="41"/>
      <c r="IWJ31" s="41"/>
      <c r="IWU31" s="41"/>
      <c r="IXF31" s="41"/>
      <c r="IXQ31" s="41"/>
      <c r="IYB31" s="41"/>
      <c r="IYM31" s="41"/>
      <c r="IYX31" s="41"/>
      <c r="IZI31" s="41"/>
      <c r="IZT31" s="41"/>
      <c r="JAE31" s="41"/>
      <c r="JAP31" s="41"/>
      <c r="JBA31" s="41"/>
      <c r="JBL31" s="41"/>
      <c r="JBW31" s="41"/>
      <c r="JCH31" s="41"/>
      <c r="JCS31" s="41"/>
      <c r="JDD31" s="41"/>
      <c r="JDO31" s="41"/>
      <c r="JDZ31" s="41"/>
      <c r="JEK31" s="41"/>
      <c r="JEV31" s="41"/>
      <c r="JFG31" s="41"/>
      <c r="JFR31" s="41"/>
      <c r="JGC31" s="41"/>
      <c r="JGN31" s="41"/>
      <c r="JGY31" s="41"/>
      <c r="JHJ31" s="41"/>
      <c r="JHU31" s="41"/>
      <c r="JIF31" s="41"/>
      <c r="JIQ31" s="41"/>
      <c r="JJB31" s="41"/>
      <c r="JJM31" s="41"/>
      <c r="JJX31" s="41"/>
      <c r="JKI31" s="41"/>
      <c r="JKT31" s="41"/>
      <c r="JLE31" s="41"/>
      <c r="JLP31" s="41"/>
      <c r="JMA31" s="41"/>
      <c r="JML31" s="41"/>
      <c r="JMW31" s="41"/>
      <c r="JNH31" s="41"/>
      <c r="JNS31" s="41"/>
      <c r="JOD31" s="41"/>
      <c r="JOO31" s="41"/>
      <c r="JOZ31" s="41"/>
      <c r="JPK31" s="41"/>
      <c r="JPV31" s="41"/>
      <c r="JQG31" s="41"/>
      <c r="JQR31" s="41"/>
      <c r="JRC31" s="41"/>
      <c r="JRN31" s="41"/>
      <c r="JRY31" s="41"/>
      <c r="JSJ31" s="41"/>
      <c r="JSU31" s="41"/>
      <c r="JTF31" s="41"/>
      <c r="JTQ31" s="41"/>
      <c r="JUB31" s="41"/>
      <c r="JUM31" s="41"/>
      <c r="JUX31" s="41"/>
      <c r="JVI31" s="41"/>
      <c r="JVT31" s="41"/>
      <c r="JWE31" s="41"/>
      <c r="JWP31" s="41"/>
      <c r="JXA31" s="41"/>
      <c r="JXL31" s="41"/>
      <c r="JXW31" s="41"/>
      <c r="JYH31" s="41"/>
      <c r="JYS31" s="41"/>
      <c r="JZD31" s="41"/>
      <c r="JZO31" s="41"/>
      <c r="JZZ31" s="41"/>
      <c r="KAK31" s="41"/>
      <c r="KAV31" s="41"/>
      <c r="KBG31" s="41"/>
      <c r="KBR31" s="41"/>
      <c r="KCC31" s="41"/>
      <c r="KCN31" s="41"/>
      <c r="KCY31" s="41"/>
      <c r="KDJ31" s="41"/>
      <c r="KDU31" s="41"/>
      <c r="KEF31" s="41"/>
      <c r="KEQ31" s="41"/>
      <c r="KFB31" s="41"/>
      <c r="KFM31" s="41"/>
      <c r="KFX31" s="41"/>
      <c r="KGI31" s="41"/>
      <c r="KGT31" s="41"/>
      <c r="KHE31" s="41"/>
      <c r="KHP31" s="41"/>
      <c r="KIA31" s="41"/>
      <c r="KIL31" s="41"/>
      <c r="KIW31" s="41"/>
      <c r="KJH31" s="41"/>
      <c r="KJS31" s="41"/>
      <c r="KKD31" s="41"/>
      <c r="KKO31" s="41"/>
      <c r="KKZ31" s="41"/>
      <c r="KLK31" s="41"/>
      <c r="KLV31" s="41"/>
      <c r="KMG31" s="41"/>
      <c r="KMR31" s="41"/>
      <c r="KNC31" s="41"/>
      <c r="KNN31" s="41"/>
      <c r="KNY31" s="41"/>
      <c r="KOJ31" s="41"/>
      <c r="KOU31" s="41"/>
      <c r="KPF31" s="41"/>
      <c r="KPQ31" s="41"/>
      <c r="KQB31" s="41"/>
      <c r="KQM31" s="41"/>
      <c r="KQX31" s="41"/>
      <c r="KRI31" s="41"/>
      <c r="KRT31" s="41"/>
      <c r="KSE31" s="41"/>
      <c r="KSP31" s="41"/>
      <c r="KTA31" s="41"/>
      <c r="KTL31" s="41"/>
      <c r="KTW31" s="41"/>
      <c r="KUH31" s="41"/>
      <c r="KUS31" s="41"/>
      <c r="KVD31" s="41"/>
      <c r="KVO31" s="41"/>
      <c r="KVZ31" s="41"/>
      <c r="KWK31" s="41"/>
      <c r="KWV31" s="41"/>
      <c r="KXG31" s="41"/>
      <c r="KXR31" s="41"/>
      <c r="KYC31" s="41"/>
      <c r="KYN31" s="41"/>
      <c r="KYY31" s="41"/>
      <c r="KZJ31" s="41"/>
      <c r="KZU31" s="41"/>
      <c r="LAF31" s="41"/>
      <c r="LAQ31" s="41"/>
      <c r="LBB31" s="41"/>
      <c r="LBM31" s="41"/>
      <c r="LBX31" s="41"/>
      <c r="LCI31" s="41"/>
      <c r="LCT31" s="41"/>
      <c r="LDE31" s="41"/>
      <c r="LDP31" s="41"/>
      <c r="LEA31" s="41"/>
      <c r="LEL31" s="41"/>
      <c r="LEW31" s="41"/>
      <c r="LFH31" s="41"/>
      <c r="LFS31" s="41"/>
      <c r="LGD31" s="41"/>
      <c r="LGO31" s="41"/>
      <c r="LGZ31" s="41"/>
      <c r="LHK31" s="41"/>
      <c r="LHV31" s="41"/>
      <c r="LIG31" s="41"/>
      <c r="LIR31" s="41"/>
      <c r="LJC31" s="41"/>
      <c r="LJN31" s="41"/>
      <c r="LJY31" s="41"/>
      <c r="LKJ31" s="41"/>
      <c r="LKU31" s="41"/>
      <c r="LLF31" s="41"/>
      <c r="LLQ31" s="41"/>
      <c r="LMB31" s="41"/>
      <c r="LMM31" s="41"/>
      <c r="LMX31" s="41"/>
      <c r="LNI31" s="41"/>
      <c r="LNT31" s="41"/>
      <c r="LOE31" s="41"/>
      <c r="LOP31" s="41"/>
      <c r="LPA31" s="41"/>
      <c r="LPL31" s="41"/>
      <c r="LPW31" s="41"/>
      <c r="LQH31" s="41"/>
      <c r="LQS31" s="41"/>
      <c r="LRD31" s="41"/>
      <c r="LRO31" s="41"/>
      <c r="LRZ31" s="41"/>
      <c r="LSK31" s="41"/>
      <c r="LSV31" s="41"/>
      <c r="LTG31" s="41"/>
      <c r="LTR31" s="41"/>
      <c r="LUC31" s="41"/>
      <c r="LUN31" s="41"/>
      <c r="LUY31" s="41"/>
      <c r="LVJ31" s="41"/>
      <c r="LVU31" s="41"/>
      <c r="LWF31" s="41"/>
      <c r="LWQ31" s="41"/>
      <c r="LXB31" s="41"/>
      <c r="LXM31" s="41"/>
      <c r="LXX31" s="41"/>
      <c r="LYI31" s="41"/>
      <c r="LYT31" s="41"/>
      <c r="LZE31" s="41"/>
      <c r="LZP31" s="41"/>
      <c r="MAA31" s="41"/>
      <c r="MAL31" s="41"/>
      <c r="MAW31" s="41"/>
      <c r="MBH31" s="41"/>
      <c r="MBS31" s="41"/>
      <c r="MCD31" s="41"/>
      <c r="MCO31" s="41"/>
      <c r="MCZ31" s="41"/>
      <c r="MDK31" s="41"/>
      <c r="MDV31" s="41"/>
      <c r="MEG31" s="41"/>
      <c r="MER31" s="41"/>
      <c r="MFC31" s="41"/>
      <c r="MFN31" s="41"/>
      <c r="MFY31" s="41"/>
      <c r="MGJ31" s="41"/>
      <c r="MGU31" s="41"/>
      <c r="MHF31" s="41"/>
      <c r="MHQ31" s="41"/>
      <c r="MIB31" s="41"/>
      <c r="MIM31" s="41"/>
      <c r="MIX31" s="41"/>
      <c r="MJI31" s="41"/>
      <c r="MJT31" s="41"/>
      <c r="MKE31" s="41"/>
      <c r="MKP31" s="41"/>
      <c r="MLA31" s="41"/>
      <c r="MLL31" s="41"/>
      <c r="MLW31" s="41"/>
      <c r="MMH31" s="41"/>
      <c r="MMS31" s="41"/>
      <c r="MND31" s="41"/>
      <c r="MNO31" s="41"/>
      <c r="MNZ31" s="41"/>
      <c r="MOK31" s="41"/>
      <c r="MOV31" s="41"/>
      <c r="MPG31" s="41"/>
      <c r="MPR31" s="41"/>
      <c r="MQC31" s="41"/>
      <c r="MQN31" s="41"/>
      <c r="MQY31" s="41"/>
      <c r="MRJ31" s="41"/>
      <c r="MRU31" s="41"/>
      <c r="MSF31" s="41"/>
      <c r="MSQ31" s="41"/>
      <c r="MTB31" s="41"/>
      <c r="MTM31" s="41"/>
      <c r="MTX31" s="41"/>
      <c r="MUI31" s="41"/>
      <c r="MUT31" s="41"/>
      <c r="MVE31" s="41"/>
      <c r="MVP31" s="41"/>
      <c r="MWA31" s="41"/>
      <c r="MWL31" s="41"/>
      <c r="MWW31" s="41"/>
      <c r="MXH31" s="41"/>
      <c r="MXS31" s="41"/>
      <c r="MYD31" s="41"/>
      <c r="MYO31" s="41"/>
      <c r="MYZ31" s="41"/>
      <c r="MZK31" s="41"/>
      <c r="MZV31" s="41"/>
      <c r="NAG31" s="41"/>
      <c r="NAR31" s="41"/>
      <c r="NBC31" s="41"/>
      <c r="NBN31" s="41"/>
      <c r="NBY31" s="41"/>
      <c r="NCJ31" s="41"/>
      <c r="NCU31" s="41"/>
      <c r="NDF31" s="41"/>
      <c r="NDQ31" s="41"/>
      <c r="NEB31" s="41"/>
      <c r="NEM31" s="41"/>
      <c r="NEX31" s="41"/>
      <c r="NFI31" s="41"/>
      <c r="NFT31" s="41"/>
      <c r="NGE31" s="41"/>
      <c r="NGP31" s="41"/>
      <c r="NHA31" s="41"/>
      <c r="NHL31" s="41"/>
      <c r="NHW31" s="41"/>
      <c r="NIH31" s="41"/>
      <c r="NIS31" s="41"/>
      <c r="NJD31" s="41"/>
      <c r="NJO31" s="41"/>
      <c r="NJZ31" s="41"/>
      <c r="NKK31" s="41"/>
      <c r="NKV31" s="41"/>
      <c r="NLG31" s="41"/>
      <c r="NLR31" s="41"/>
      <c r="NMC31" s="41"/>
      <c r="NMN31" s="41"/>
      <c r="NMY31" s="41"/>
      <c r="NNJ31" s="41"/>
      <c r="NNU31" s="41"/>
      <c r="NOF31" s="41"/>
      <c r="NOQ31" s="41"/>
      <c r="NPB31" s="41"/>
      <c r="NPM31" s="41"/>
      <c r="NPX31" s="41"/>
      <c r="NQI31" s="41"/>
      <c r="NQT31" s="41"/>
      <c r="NRE31" s="41"/>
      <c r="NRP31" s="41"/>
      <c r="NSA31" s="41"/>
      <c r="NSL31" s="41"/>
      <c r="NSW31" s="41"/>
      <c r="NTH31" s="41"/>
      <c r="NTS31" s="41"/>
      <c r="NUD31" s="41"/>
      <c r="NUO31" s="41"/>
      <c r="NUZ31" s="41"/>
      <c r="NVK31" s="41"/>
      <c r="NVV31" s="41"/>
      <c r="NWG31" s="41"/>
      <c r="NWR31" s="41"/>
      <c r="NXC31" s="41"/>
      <c r="NXN31" s="41"/>
      <c r="NXY31" s="41"/>
      <c r="NYJ31" s="41"/>
      <c r="NYU31" s="41"/>
      <c r="NZF31" s="41"/>
      <c r="NZQ31" s="41"/>
      <c r="OAB31" s="41"/>
      <c r="OAM31" s="41"/>
      <c r="OAX31" s="41"/>
      <c r="OBI31" s="41"/>
      <c r="OBT31" s="41"/>
      <c r="OCE31" s="41"/>
      <c r="OCP31" s="41"/>
      <c r="ODA31" s="41"/>
      <c r="ODL31" s="41"/>
      <c r="ODW31" s="41"/>
      <c r="OEH31" s="41"/>
      <c r="OES31" s="41"/>
      <c r="OFD31" s="41"/>
      <c r="OFO31" s="41"/>
      <c r="OFZ31" s="41"/>
      <c r="OGK31" s="41"/>
      <c r="OGV31" s="41"/>
      <c r="OHG31" s="41"/>
      <c r="OHR31" s="41"/>
      <c r="OIC31" s="41"/>
      <c r="OIN31" s="41"/>
      <c r="OIY31" s="41"/>
      <c r="OJJ31" s="41"/>
      <c r="OJU31" s="41"/>
      <c r="OKF31" s="41"/>
      <c r="OKQ31" s="41"/>
      <c r="OLB31" s="41"/>
      <c r="OLM31" s="41"/>
      <c r="OLX31" s="41"/>
      <c r="OMI31" s="41"/>
      <c r="OMT31" s="41"/>
      <c r="ONE31" s="41"/>
      <c r="ONP31" s="41"/>
      <c r="OOA31" s="41"/>
      <c r="OOL31" s="41"/>
      <c r="OOW31" s="41"/>
      <c r="OPH31" s="41"/>
      <c r="OPS31" s="41"/>
      <c r="OQD31" s="41"/>
      <c r="OQO31" s="41"/>
      <c r="OQZ31" s="41"/>
      <c r="ORK31" s="41"/>
      <c r="ORV31" s="41"/>
      <c r="OSG31" s="41"/>
      <c r="OSR31" s="41"/>
      <c r="OTC31" s="41"/>
      <c r="OTN31" s="41"/>
      <c r="OTY31" s="41"/>
      <c r="OUJ31" s="41"/>
      <c r="OUU31" s="41"/>
      <c r="OVF31" s="41"/>
      <c r="OVQ31" s="41"/>
      <c r="OWB31" s="41"/>
      <c r="OWM31" s="41"/>
      <c r="OWX31" s="41"/>
      <c r="OXI31" s="41"/>
      <c r="OXT31" s="41"/>
      <c r="OYE31" s="41"/>
      <c r="OYP31" s="41"/>
      <c r="OZA31" s="41"/>
      <c r="OZL31" s="41"/>
      <c r="OZW31" s="41"/>
      <c r="PAH31" s="41"/>
      <c r="PAS31" s="41"/>
      <c r="PBD31" s="41"/>
      <c r="PBO31" s="41"/>
      <c r="PBZ31" s="41"/>
      <c r="PCK31" s="41"/>
      <c r="PCV31" s="41"/>
      <c r="PDG31" s="41"/>
      <c r="PDR31" s="41"/>
      <c r="PEC31" s="41"/>
      <c r="PEN31" s="41"/>
      <c r="PEY31" s="41"/>
      <c r="PFJ31" s="41"/>
      <c r="PFU31" s="41"/>
      <c r="PGF31" s="41"/>
      <c r="PGQ31" s="41"/>
      <c r="PHB31" s="41"/>
      <c r="PHM31" s="41"/>
      <c r="PHX31" s="41"/>
      <c r="PII31" s="41"/>
      <c r="PIT31" s="41"/>
      <c r="PJE31" s="41"/>
      <c r="PJP31" s="41"/>
      <c r="PKA31" s="41"/>
      <c r="PKL31" s="41"/>
      <c r="PKW31" s="41"/>
      <c r="PLH31" s="41"/>
      <c r="PLS31" s="41"/>
      <c r="PMD31" s="41"/>
      <c r="PMO31" s="41"/>
      <c r="PMZ31" s="41"/>
      <c r="PNK31" s="41"/>
      <c r="PNV31" s="41"/>
      <c r="POG31" s="41"/>
      <c r="POR31" s="41"/>
      <c r="PPC31" s="41"/>
      <c r="PPN31" s="41"/>
      <c r="PPY31" s="41"/>
      <c r="PQJ31" s="41"/>
      <c r="PQU31" s="41"/>
      <c r="PRF31" s="41"/>
      <c r="PRQ31" s="41"/>
      <c r="PSB31" s="41"/>
      <c r="PSM31" s="41"/>
      <c r="PSX31" s="41"/>
      <c r="PTI31" s="41"/>
      <c r="PTT31" s="41"/>
      <c r="PUE31" s="41"/>
      <c r="PUP31" s="41"/>
      <c r="PVA31" s="41"/>
      <c r="PVL31" s="41"/>
      <c r="PVW31" s="41"/>
      <c r="PWH31" s="41"/>
      <c r="PWS31" s="41"/>
      <c r="PXD31" s="41"/>
      <c r="PXO31" s="41"/>
      <c r="PXZ31" s="41"/>
      <c r="PYK31" s="41"/>
      <c r="PYV31" s="41"/>
      <c r="PZG31" s="41"/>
      <c r="PZR31" s="41"/>
      <c r="QAC31" s="41"/>
      <c r="QAN31" s="41"/>
      <c r="QAY31" s="41"/>
      <c r="QBJ31" s="41"/>
      <c r="QBU31" s="41"/>
      <c r="QCF31" s="41"/>
      <c r="QCQ31" s="41"/>
      <c r="QDB31" s="41"/>
      <c r="QDM31" s="41"/>
      <c r="QDX31" s="41"/>
      <c r="QEI31" s="41"/>
      <c r="QET31" s="41"/>
      <c r="QFE31" s="41"/>
      <c r="QFP31" s="41"/>
      <c r="QGA31" s="41"/>
      <c r="QGL31" s="41"/>
      <c r="QGW31" s="41"/>
      <c r="QHH31" s="41"/>
      <c r="QHS31" s="41"/>
      <c r="QID31" s="41"/>
      <c r="QIO31" s="41"/>
      <c r="QIZ31" s="41"/>
      <c r="QJK31" s="41"/>
      <c r="QJV31" s="41"/>
      <c r="QKG31" s="41"/>
      <c r="QKR31" s="41"/>
      <c r="QLC31" s="41"/>
      <c r="QLN31" s="41"/>
      <c r="QLY31" s="41"/>
      <c r="QMJ31" s="41"/>
      <c r="QMU31" s="41"/>
      <c r="QNF31" s="41"/>
      <c r="QNQ31" s="41"/>
      <c r="QOB31" s="41"/>
      <c r="QOM31" s="41"/>
      <c r="QOX31" s="41"/>
      <c r="QPI31" s="41"/>
      <c r="QPT31" s="41"/>
      <c r="QQE31" s="41"/>
      <c r="QQP31" s="41"/>
      <c r="QRA31" s="41"/>
      <c r="QRL31" s="41"/>
      <c r="QRW31" s="41"/>
      <c r="QSH31" s="41"/>
      <c r="QSS31" s="41"/>
      <c r="QTD31" s="41"/>
      <c r="QTO31" s="41"/>
      <c r="QTZ31" s="41"/>
      <c r="QUK31" s="41"/>
      <c r="QUV31" s="41"/>
      <c r="QVG31" s="41"/>
      <c r="QVR31" s="41"/>
      <c r="QWC31" s="41"/>
      <c r="QWN31" s="41"/>
      <c r="QWY31" s="41"/>
      <c r="QXJ31" s="41"/>
      <c r="QXU31" s="41"/>
      <c r="QYF31" s="41"/>
      <c r="QYQ31" s="41"/>
      <c r="QZB31" s="41"/>
      <c r="QZM31" s="41"/>
      <c r="QZX31" s="41"/>
      <c r="RAI31" s="41"/>
      <c r="RAT31" s="41"/>
      <c r="RBE31" s="41"/>
      <c r="RBP31" s="41"/>
      <c r="RCA31" s="41"/>
      <c r="RCL31" s="41"/>
      <c r="RCW31" s="41"/>
      <c r="RDH31" s="41"/>
      <c r="RDS31" s="41"/>
      <c r="RED31" s="41"/>
      <c r="REO31" s="41"/>
      <c r="REZ31" s="41"/>
      <c r="RFK31" s="41"/>
      <c r="RFV31" s="41"/>
      <c r="RGG31" s="41"/>
      <c r="RGR31" s="41"/>
      <c r="RHC31" s="41"/>
      <c r="RHN31" s="41"/>
      <c r="RHY31" s="41"/>
      <c r="RIJ31" s="41"/>
      <c r="RIU31" s="41"/>
      <c r="RJF31" s="41"/>
      <c r="RJQ31" s="41"/>
      <c r="RKB31" s="41"/>
      <c r="RKM31" s="41"/>
      <c r="RKX31" s="41"/>
      <c r="RLI31" s="41"/>
      <c r="RLT31" s="41"/>
      <c r="RME31" s="41"/>
      <c r="RMP31" s="41"/>
      <c r="RNA31" s="41"/>
      <c r="RNL31" s="41"/>
      <c r="RNW31" s="41"/>
      <c r="ROH31" s="41"/>
      <c r="ROS31" s="41"/>
      <c r="RPD31" s="41"/>
      <c r="RPO31" s="41"/>
      <c r="RPZ31" s="41"/>
      <c r="RQK31" s="41"/>
      <c r="RQV31" s="41"/>
      <c r="RRG31" s="41"/>
      <c r="RRR31" s="41"/>
      <c r="RSC31" s="41"/>
      <c r="RSN31" s="41"/>
      <c r="RSY31" s="41"/>
      <c r="RTJ31" s="41"/>
      <c r="RTU31" s="41"/>
      <c r="RUF31" s="41"/>
      <c r="RUQ31" s="41"/>
      <c r="RVB31" s="41"/>
      <c r="RVM31" s="41"/>
      <c r="RVX31" s="41"/>
      <c r="RWI31" s="41"/>
      <c r="RWT31" s="41"/>
      <c r="RXE31" s="41"/>
      <c r="RXP31" s="41"/>
      <c r="RYA31" s="41"/>
      <c r="RYL31" s="41"/>
      <c r="RYW31" s="41"/>
      <c r="RZH31" s="41"/>
      <c r="RZS31" s="41"/>
      <c r="SAD31" s="41"/>
      <c r="SAO31" s="41"/>
      <c r="SAZ31" s="41"/>
      <c r="SBK31" s="41"/>
      <c r="SBV31" s="41"/>
      <c r="SCG31" s="41"/>
      <c r="SCR31" s="41"/>
      <c r="SDC31" s="41"/>
      <c r="SDN31" s="41"/>
      <c r="SDY31" s="41"/>
      <c r="SEJ31" s="41"/>
      <c r="SEU31" s="41"/>
      <c r="SFF31" s="41"/>
      <c r="SFQ31" s="41"/>
      <c r="SGB31" s="41"/>
      <c r="SGM31" s="41"/>
      <c r="SGX31" s="41"/>
      <c r="SHI31" s="41"/>
      <c r="SHT31" s="41"/>
      <c r="SIE31" s="41"/>
      <c r="SIP31" s="41"/>
      <c r="SJA31" s="41"/>
      <c r="SJL31" s="41"/>
      <c r="SJW31" s="41"/>
      <c r="SKH31" s="41"/>
      <c r="SKS31" s="41"/>
      <c r="SLD31" s="41"/>
      <c r="SLO31" s="41"/>
      <c r="SLZ31" s="41"/>
      <c r="SMK31" s="41"/>
      <c r="SMV31" s="41"/>
      <c r="SNG31" s="41"/>
      <c r="SNR31" s="41"/>
      <c r="SOC31" s="41"/>
      <c r="SON31" s="41"/>
      <c r="SOY31" s="41"/>
      <c r="SPJ31" s="41"/>
      <c r="SPU31" s="41"/>
      <c r="SQF31" s="41"/>
      <c r="SQQ31" s="41"/>
      <c r="SRB31" s="41"/>
      <c r="SRM31" s="41"/>
      <c r="SRX31" s="41"/>
      <c r="SSI31" s="41"/>
      <c r="SST31" s="41"/>
      <c r="STE31" s="41"/>
      <c r="STP31" s="41"/>
      <c r="SUA31" s="41"/>
      <c r="SUL31" s="41"/>
      <c r="SUW31" s="41"/>
      <c r="SVH31" s="41"/>
      <c r="SVS31" s="41"/>
      <c r="SWD31" s="41"/>
      <c r="SWO31" s="41"/>
      <c r="SWZ31" s="41"/>
      <c r="SXK31" s="41"/>
      <c r="SXV31" s="41"/>
      <c r="SYG31" s="41"/>
      <c r="SYR31" s="41"/>
      <c r="SZC31" s="41"/>
      <c r="SZN31" s="41"/>
      <c r="SZY31" s="41"/>
      <c r="TAJ31" s="41"/>
      <c r="TAU31" s="41"/>
      <c r="TBF31" s="41"/>
      <c r="TBQ31" s="41"/>
      <c r="TCB31" s="41"/>
      <c r="TCM31" s="41"/>
      <c r="TCX31" s="41"/>
      <c r="TDI31" s="41"/>
      <c r="TDT31" s="41"/>
      <c r="TEE31" s="41"/>
      <c r="TEP31" s="41"/>
      <c r="TFA31" s="41"/>
      <c r="TFL31" s="41"/>
      <c r="TFW31" s="41"/>
      <c r="TGH31" s="41"/>
      <c r="TGS31" s="41"/>
      <c r="THD31" s="41"/>
      <c r="THO31" s="41"/>
      <c r="THZ31" s="41"/>
      <c r="TIK31" s="41"/>
      <c r="TIV31" s="41"/>
      <c r="TJG31" s="41"/>
      <c r="TJR31" s="41"/>
      <c r="TKC31" s="41"/>
      <c r="TKN31" s="41"/>
      <c r="TKY31" s="41"/>
      <c r="TLJ31" s="41"/>
      <c r="TLU31" s="41"/>
      <c r="TMF31" s="41"/>
      <c r="TMQ31" s="41"/>
      <c r="TNB31" s="41"/>
      <c r="TNM31" s="41"/>
      <c r="TNX31" s="41"/>
      <c r="TOI31" s="41"/>
      <c r="TOT31" s="41"/>
      <c r="TPE31" s="41"/>
      <c r="TPP31" s="41"/>
      <c r="TQA31" s="41"/>
      <c r="TQL31" s="41"/>
      <c r="TQW31" s="41"/>
      <c r="TRH31" s="41"/>
      <c r="TRS31" s="41"/>
      <c r="TSD31" s="41"/>
      <c r="TSO31" s="41"/>
      <c r="TSZ31" s="41"/>
      <c r="TTK31" s="41"/>
      <c r="TTV31" s="41"/>
      <c r="TUG31" s="41"/>
      <c r="TUR31" s="41"/>
      <c r="TVC31" s="41"/>
      <c r="TVN31" s="41"/>
      <c r="TVY31" s="41"/>
      <c r="TWJ31" s="41"/>
      <c r="TWU31" s="41"/>
      <c r="TXF31" s="41"/>
      <c r="TXQ31" s="41"/>
      <c r="TYB31" s="41"/>
      <c r="TYM31" s="41"/>
      <c r="TYX31" s="41"/>
      <c r="TZI31" s="41"/>
      <c r="TZT31" s="41"/>
      <c r="UAE31" s="41"/>
      <c r="UAP31" s="41"/>
      <c r="UBA31" s="41"/>
      <c r="UBL31" s="41"/>
      <c r="UBW31" s="41"/>
      <c r="UCH31" s="41"/>
      <c r="UCS31" s="41"/>
      <c r="UDD31" s="41"/>
      <c r="UDO31" s="41"/>
      <c r="UDZ31" s="41"/>
      <c r="UEK31" s="41"/>
      <c r="UEV31" s="41"/>
      <c r="UFG31" s="41"/>
      <c r="UFR31" s="41"/>
      <c r="UGC31" s="41"/>
      <c r="UGN31" s="41"/>
      <c r="UGY31" s="41"/>
      <c r="UHJ31" s="41"/>
      <c r="UHU31" s="41"/>
      <c r="UIF31" s="41"/>
      <c r="UIQ31" s="41"/>
      <c r="UJB31" s="41"/>
      <c r="UJM31" s="41"/>
      <c r="UJX31" s="41"/>
      <c r="UKI31" s="41"/>
      <c r="UKT31" s="41"/>
      <c r="ULE31" s="41"/>
      <c r="ULP31" s="41"/>
      <c r="UMA31" s="41"/>
      <c r="UML31" s="41"/>
      <c r="UMW31" s="41"/>
      <c r="UNH31" s="41"/>
      <c r="UNS31" s="41"/>
      <c r="UOD31" s="41"/>
      <c r="UOO31" s="41"/>
      <c r="UOZ31" s="41"/>
      <c r="UPK31" s="41"/>
      <c r="UPV31" s="41"/>
      <c r="UQG31" s="41"/>
      <c r="UQR31" s="41"/>
      <c r="URC31" s="41"/>
      <c r="URN31" s="41"/>
      <c r="URY31" s="41"/>
      <c r="USJ31" s="41"/>
      <c r="USU31" s="41"/>
      <c r="UTF31" s="41"/>
      <c r="UTQ31" s="41"/>
      <c r="UUB31" s="41"/>
      <c r="UUM31" s="41"/>
      <c r="UUX31" s="41"/>
      <c r="UVI31" s="41"/>
      <c r="UVT31" s="41"/>
      <c r="UWE31" s="41"/>
      <c r="UWP31" s="41"/>
      <c r="UXA31" s="41"/>
      <c r="UXL31" s="41"/>
      <c r="UXW31" s="41"/>
      <c r="UYH31" s="41"/>
      <c r="UYS31" s="41"/>
      <c r="UZD31" s="41"/>
      <c r="UZO31" s="41"/>
      <c r="UZZ31" s="41"/>
      <c r="VAK31" s="41"/>
      <c r="VAV31" s="41"/>
      <c r="VBG31" s="41"/>
      <c r="VBR31" s="41"/>
      <c r="VCC31" s="41"/>
      <c r="VCN31" s="41"/>
      <c r="VCY31" s="41"/>
      <c r="VDJ31" s="41"/>
      <c r="VDU31" s="41"/>
      <c r="VEF31" s="41"/>
      <c r="VEQ31" s="41"/>
      <c r="VFB31" s="41"/>
      <c r="VFM31" s="41"/>
      <c r="VFX31" s="41"/>
      <c r="VGI31" s="41"/>
      <c r="VGT31" s="41"/>
      <c r="VHE31" s="41"/>
      <c r="VHP31" s="41"/>
      <c r="VIA31" s="41"/>
      <c r="VIL31" s="41"/>
      <c r="VIW31" s="41"/>
      <c r="VJH31" s="41"/>
      <c r="VJS31" s="41"/>
      <c r="VKD31" s="41"/>
      <c r="VKO31" s="41"/>
      <c r="VKZ31" s="41"/>
      <c r="VLK31" s="41"/>
      <c r="VLV31" s="41"/>
      <c r="VMG31" s="41"/>
      <c r="VMR31" s="41"/>
      <c r="VNC31" s="41"/>
      <c r="VNN31" s="41"/>
      <c r="VNY31" s="41"/>
      <c r="VOJ31" s="41"/>
      <c r="VOU31" s="41"/>
      <c r="VPF31" s="41"/>
      <c r="VPQ31" s="41"/>
      <c r="VQB31" s="41"/>
      <c r="VQM31" s="41"/>
      <c r="VQX31" s="41"/>
      <c r="VRI31" s="41"/>
      <c r="VRT31" s="41"/>
      <c r="VSE31" s="41"/>
      <c r="VSP31" s="41"/>
      <c r="VTA31" s="41"/>
      <c r="VTL31" s="41"/>
      <c r="VTW31" s="41"/>
      <c r="VUH31" s="41"/>
      <c r="VUS31" s="41"/>
      <c r="VVD31" s="41"/>
      <c r="VVO31" s="41"/>
      <c r="VVZ31" s="41"/>
      <c r="VWK31" s="41"/>
      <c r="VWV31" s="41"/>
      <c r="VXG31" s="41"/>
      <c r="VXR31" s="41"/>
      <c r="VYC31" s="41"/>
      <c r="VYN31" s="41"/>
      <c r="VYY31" s="41"/>
      <c r="VZJ31" s="41"/>
      <c r="VZU31" s="41"/>
      <c r="WAF31" s="41"/>
      <c r="WAQ31" s="41"/>
      <c r="WBB31" s="41"/>
      <c r="WBM31" s="41"/>
      <c r="WBX31" s="41"/>
      <c r="WCI31" s="41"/>
      <c r="WCT31" s="41"/>
      <c r="WDE31" s="41"/>
      <c r="WDP31" s="41"/>
      <c r="WEA31" s="41"/>
      <c r="WEL31" s="41"/>
      <c r="WEW31" s="41"/>
      <c r="WFH31" s="41"/>
      <c r="WFS31" s="41"/>
      <c r="WGD31" s="41"/>
      <c r="WGO31" s="41"/>
      <c r="WGZ31" s="41"/>
      <c r="WHK31" s="41"/>
      <c r="WHV31" s="41"/>
      <c r="WIG31" s="41"/>
      <c r="WIR31" s="41"/>
      <c r="WJC31" s="41"/>
      <c r="WJN31" s="41"/>
      <c r="WJY31" s="41"/>
      <c r="WKJ31" s="41"/>
      <c r="WKU31" s="41"/>
      <c r="WLF31" s="41"/>
      <c r="WLQ31" s="41"/>
      <c r="WMB31" s="41"/>
      <c r="WMM31" s="41"/>
      <c r="WMX31" s="41"/>
      <c r="WNI31" s="41"/>
      <c r="WNT31" s="41"/>
      <c r="WOE31" s="41"/>
      <c r="WOP31" s="41"/>
      <c r="WPA31" s="41"/>
      <c r="WPL31" s="41"/>
      <c r="WPW31" s="41"/>
      <c r="WQH31" s="41"/>
      <c r="WQS31" s="41"/>
      <c r="WRD31" s="41"/>
      <c r="WRO31" s="41"/>
      <c r="WRZ31" s="41"/>
      <c r="WSK31" s="41"/>
      <c r="WSV31" s="41"/>
      <c r="WTG31" s="41"/>
      <c r="WTR31" s="41"/>
      <c r="WUC31" s="41"/>
      <c r="WUN31" s="41"/>
      <c r="WUY31" s="41"/>
      <c r="WVJ31" s="41"/>
      <c r="WVU31" s="41"/>
      <c r="WWF31" s="41"/>
      <c r="WWQ31" s="41"/>
      <c r="WXB31" s="41"/>
      <c r="WXM31" s="41"/>
      <c r="WXX31" s="41"/>
      <c r="WYI31" s="41"/>
      <c r="WYT31" s="41"/>
      <c r="WZE31" s="41"/>
      <c r="WZP31" s="41"/>
      <c r="XAA31" s="41"/>
      <c r="XAL31" s="41"/>
      <c r="XAW31" s="41"/>
      <c r="XBH31" s="41"/>
      <c r="XBS31" s="41"/>
      <c r="XCD31" s="41"/>
      <c r="XCO31" s="41"/>
      <c r="XCZ31" s="41"/>
      <c r="XDK31" s="41"/>
      <c r="XDV31" s="41"/>
      <c r="XEG31" s="41"/>
      <c r="XER31" s="41"/>
      <c r="XFC31" s="41"/>
    </row>
    <row r="32" spans="1:1016 1027:2039 2050:3062 3073:4096 4107:5119 5130:6142 6153:7165 7176:8188 8199:9211 9222:10234 10245:11257 11268:12280 12291:13303 13314:14326 14337:15360 15371:16383" s="40" customFormat="1" ht="12.6" customHeight="1" thickBot="1">
      <c r="F32" s="41"/>
      <c r="G32" s="178" t="s">
        <v>216</v>
      </c>
      <c r="H32" s="179" t="s">
        <v>216</v>
      </c>
      <c r="I32" s="179" t="s">
        <v>216</v>
      </c>
      <c r="J32" s="178" t="s">
        <v>216</v>
      </c>
      <c r="K32" s="179" t="s">
        <v>216</v>
      </c>
      <c r="L32" s="179" t="s">
        <v>216</v>
      </c>
      <c r="M32" s="180" t="s">
        <v>216</v>
      </c>
      <c r="N32"/>
      <c r="O32" s="172"/>
      <c r="P32" s="221"/>
      <c r="Q32" s="221"/>
      <c r="R32" s="221"/>
      <c r="S32" s="221"/>
      <c r="T32" s="221"/>
      <c r="U32" s="204"/>
      <c r="V32" s="204"/>
      <c r="W32" s="204"/>
      <c r="X32" s="204"/>
      <c r="Y32" s="204"/>
      <c r="Z32" s="204"/>
      <c r="AA32" t="s">
        <v>300</v>
      </c>
      <c r="AK32" s="41"/>
      <c r="AV32" s="41"/>
      <c r="BG32" s="41"/>
      <c r="BR32" s="41"/>
      <c r="CC32" s="41"/>
      <c r="CN32" s="41"/>
      <c r="CY32" s="41"/>
      <c r="DJ32" s="41"/>
      <c r="DU32" s="41"/>
      <c r="EF32" s="41"/>
      <c r="EQ32" s="41"/>
      <c r="FB32" s="41"/>
      <c r="FM32" s="41"/>
      <c r="FX32" s="41"/>
      <c r="GI32" s="41"/>
      <c r="GT32" s="41"/>
      <c r="HE32" s="41"/>
      <c r="HP32" s="41"/>
      <c r="IA32" s="41"/>
      <c r="IL32" s="41"/>
      <c r="IW32" s="41"/>
      <c r="JH32" s="41"/>
      <c r="JS32" s="41"/>
      <c r="KD32" s="41"/>
      <c r="KO32" s="41"/>
      <c r="KZ32" s="41"/>
      <c r="LK32" s="41"/>
      <c r="LV32" s="41"/>
      <c r="MG32" s="41"/>
      <c r="MR32" s="41"/>
      <c r="NC32" s="41"/>
      <c r="NN32" s="41"/>
      <c r="NY32" s="41"/>
      <c r="OJ32" s="41"/>
      <c r="OU32" s="41"/>
      <c r="PF32" s="41"/>
      <c r="PQ32" s="41"/>
      <c r="QB32" s="41"/>
      <c r="QM32" s="41"/>
      <c r="QX32" s="41"/>
      <c r="RI32" s="41"/>
      <c r="RT32" s="41"/>
      <c r="SE32" s="41"/>
      <c r="SP32" s="41"/>
      <c r="TA32" s="41"/>
      <c r="TL32" s="41"/>
      <c r="TW32" s="41"/>
      <c r="UH32" s="41"/>
      <c r="US32" s="41"/>
      <c r="VD32" s="41"/>
      <c r="VO32" s="41"/>
      <c r="VZ32" s="41"/>
      <c r="WK32" s="41"/>
      <c r="WV32" s="41"/>
      <c r="XG32" s="41"/>
      <c r="XR32" s="41"/>
      <c r="YC32" s="41"/>
      <c r="YN32" s="41"/>
      <c r="YY32" s="41"/>
      <c r="ZJ32" s="41"/>
      <c r="ZU32" s="41"/>
      <c r="AAF32" s="41"/>
      <c r="AAQ32" s="41"/>
      <c r="ABB32" s="41"/>
      <c r="ABM32" s="41"/>
      <c r="ABX32" s="41"/>
      <c r="ACI32" s="41"/>
      <c r="ACT32" s="41"/>
      <c r="ADE32" s="41"/>
      <c r="ADP32" s="41"/>
      <c r="AEA32" s="41"/>
      <c r="AEL32" s="41"/>
      <c r="AEW32" s="41"/>
      <c r="AFH32" s="41"/>
      <c r="AFS32" s="41"/>
      <c r="AGD32" s="41"/>
      <c r="AGO32" s="41"/>
      <c r="AGZ32" s="41"/>
      <c r="AHK32" s="41"/>
      <c r="AHV32" s="41"/>
      <c r="AIG32" s="41"/>
      <c r="AIR32" s="41"/>
      <c r="AJC32" s="41"/>
      <c r="AJN32" s="41"/>
      <c r="AJY32" s="41"/>
      <c r="AKJ32" s="41"/>
      <c r="AKU32" s="41"/>
      <c r="ALF32" s="41"/>
      <c r="ALQ32" s="41"/>
      <c r="AMB32" s="41"/>
      <c r="AMM32" s="41"/>
      <c r="AMX32" s="41"/>
      <c r="ANI32" s="41"/>
      <c r="ANT32" s="41"/>
      <c r="AOE32" s="41"/>
      <c r="AOP32" s="41"/>
      <c r="APA32" s="41"/>
      <c r="APL32" s="41"/>
      <c r="APW32" s="41"/>
      <c r="AQH32" s="41"/>
      <c r="AQS32" s="41"/>
      <c r="ARD32" s="41"/>
      <c r="ARO32" s="41"/>
      <c r="ARZ32" s="41"/>
      <c r="ASK32" s="41"/>
      <c r="ASV32" s="41"/>
      <c r="ATG32" s="41"/>
      <c r="ATR32" s="41"/>
      <c r="AUC32" s="41"/>
      <c r="AUN32" s="41"/>
      <c r="AUY32" s="41"/>
      <c r="AVJ32" s="41"/>
      <c r="AVU32" s="41"/>
      <c r="AWF32" s="41"/>
      <c r="AWQ32" s="41"/>
      <c r="AXB32" s="41"/>
      <c r="AXM32" s="41"/>
      <c r="AXX32" s="41"/>
      <c r="AYI32" s="41"/>
      <c r="AYT32" s="41"/>
      <c r="AZE32" s="41"/>
      <c r="AZP32" s="41"/>
      <c r="BAA32" s="41"/>
      <c r="BAL32" s="41"/>
      <c r="BAW32" s="41"/>
      <c r="BBH32" s="41"/>
      <c r="BBS32" s="41"/>
      <c r="BCD32" s="41"/>
      <c r="BCO32" s="41"/>
      <c r="BCZ32" s="41"/>
      <c r="BDK32" s="41"/>
      <c r="BDV32" s="41"/>
      <c r="BEG32" s="41"/>
      <c r="BER32" s="41"/>
      <c r="BFC32" s="41"/>
      <c r="BFN32" s="41"/>
      <c r="BFY32" s="41"/>
      <c r="BGJ32" s="41"/>
      <c r="BGU32" s="41"/>
      <c r="BHF32" s="41"/>
      <c r="BHQ32" s="41"/>
      <c r="BIB32" s="41"/>
      <c r="BIM32" s="41"/>
      <c r="BIX32" s="41"/>
      <c r="BJI32" s="41"/>
      <c r="BJT32" s="41"/>
      <c r="BKE32" s="41"/>
      <c r="BKP32" s="41"/>
      <c r="BLA32" s="41"/>
      <c r="BLL32" s="41"/>
      <c r="BLW32" s="41"/>
      <c r="BMH32" s="41"/>
      <c r="BMS32" s="41"/>
      <c r="BND32" s="41"/>
      <c r="BNO32" s="41"/>
      <c r="BNZ32" s="41"/>
      <c r="BOK32" s="41"/>
      <c r="BOV32" s="41"/>
      <c r="BPG32" s="41"/>
      <c r="BPR32" s="41"/>
      <c r="BQC32" s="41"/>
      <c r="BQN32" s="41"/>
      <c r="BQY32" s="41"/>
      <c r="BRJ32" s="41"/>
      <c r="BRU32" s="41"/>
      <c r="BSF32" s="41"/>
      <c r="BSQ32" s="41"/>
      <c r="BTB32" s="41"/>
      <c r="BTM32" s="41"/>
      <c r="BTX32" s="41"/>
      <c r="BUI32" s="41"/>
      <c r="BUT32" s="41"/>
      <c r="BVE32" s="41"/>
      <c r="BVP32" s="41"/>
      <c r="BWA32" s="41"/>
      <c r="BWL32" s="41"/>
      <c r="BWW32" s="41"/>
      <c r="BXH32" s="41"/>
      <c r="BXS32" s="41"/>
      <c r="BYD32" s="41"/>
      <c r="BYO32" s="41"/>
      <c r="BYZ32" s="41"/>
      <c r="BZK32" s="41"/>
      <c r="BZV32" s="41"/>
      <c r="CAG32" s="41"/>
      <c r="CAR32" s="41"/>
      <c r="CBC32" s="41"/>
      <c r="CBN32" s="41"/>
      <c r="CBY32" s="41"/>
      <c r="CCJ32" s="41"/>
      <c r="CCU32" s="41"/>
      <c r="CDF32" s="41"/>
      <c r="CDQ32" s="41"/>
      <c r="CEB32" s="41"/>
      <c r="CEM32" s="41"/>
      <c r="CEX32" s="41"/>
      <c r="CFI32" s="41"/>
      <c r="CFT32" s="41"/>
      <c r="CGE32" s="41"/>
      <c r="CGP32" s="41"/>
      <c r="CHA32" s="41"/>
      <c r="CHL32" s="41"/>
      <c r="CHW32" s="41"/>
      <c r="CIH32" s="41"/>
      <c r="CIS32" s="41"/>
      <c r="CJD32" s="41"/>
      <c r="CJO32" s="41"/>
      <c r="CJZ32" s="41"/>
      <c r="CKK32" s="41"/>
      <c r="CKV32" s="41"/>
      <c r="CLG32" s="41"/>
      <c r="CLR32" s="41"/>
      <c r="CMC32" s="41"/>
      <c r="CMN32" s="41"/>
      <c r="CMY32" s="41"/>
      <c r="CNJ32" s="41"/>
      <c r="CNU32" s="41"/>
      <c r="COF32" s="41"/>
      <c r="COQ32" s="41"/>
      <c r="CPB32" s="41"/>
      <c r="CPM32" s="41"/>
      <c r="CPX32" s="41"/>
      <c r="CQI32" s="41"/>
      <c r="CQT32" s="41"/>
      <c r="CRE32" s="41"/>
      <c r="CRP32" s="41"/>
      <c r="CSA32" s="41"/>
      <c r="CSL32" s="41"/>
      <c r="CSW32" s="41"/>
      <c r="CTH32" s="41"/>
      <c r="CTS32" s="41"/>
      <c r="CUD32" s="41"/>
      <c r="CUO32" s="41"/>
      <c r="CUZ32" s="41"/>
      <c r="CVK32" s="41"/>
      <c r="CVV32" s="41"/>
      <c r="CWG32" s="41"/>
      <c r="CWR32" s="41"/>
      <c r="CXC32" s="41"/>
      <c r="CXN32" s="41"/>
      <c r="CXY32" s="41"/>
      <c r="CYJ32" s="41"/>
      <c r="CYU32" s="41"/>
      <c r="CZF32" s="41"/>
      <c r="CZQ32" s="41"/>
      <c r="DAB32" s="41"/>
      <c r="DAM32" s="41"/>
      <c r="DAX32" s="41"/>
      <c r="DBI32" s="41"/>
      <c r="DBT32" s="41"/>
      <c r="DCE32" s="41"/>
      <c r="DCP32" s="41"/>
      <c r="DDA32" s="41"/>
      <c r="DDL32" s="41"/>
      <c r="DDW32" s="41"/>
      <c r="DEH32" s="41"/>
      <c r="DES32" s="41"/>
      <c r="DFD32" s="41"/>
      <c r="DFO32" s="41"/>
      <c r="DFZ32" s="41"/>
      <c r="DGK32" s="41"/>
      <c r="DGV32" s="41"/>
      <c r="DHG32" s="41"/>
      <c r="DHR32" s="41"/>
      <c r="DIC32" s="41"/>
      <c r="DIN32" s="41"/>
      <c r="DIY32" s="41"/>
      <c r="DJJ32" s="41"/>
      <c r="DJU32" s="41"/>
      <c r="DKF32" s="41"/>
      <c r="DKQ32" s="41"/>
      <c r="DLB32" s="41"/>
      <c r="DLM32" s="41"/>
      <c r="DLX32" s="41"/>
      <c r="DMI32" s="41"/>
      <c r="DMT32" s="41"/>
      <c r="DNE32" s="41"/>
      <c r="DNP32" s="41"/>
      <c r="DOA32" s="41"/>
      <c r="DOL32" s="41"/>
      <c r="DOW32" s="41"/>
      <c r="DPH32" s="41"/>
      <c r="DPS32" s="41"/>
      <c r="DQD32" s="41"/>
      <c r="DQO32" s="41"/>
      <c r="DQZ32" s="41"/>
      <c r="DRK32" s="41"/>
      <c r="DRV32" s="41"/>
      <c r="DSG32" s="41"/>
      <c r="DSR32" s="41"/>
      <c r="DTC32" s="41"/>
      <c r="DTN32" s="41"/>
      <c r="DTY32" s="41"/>
      <c r="DUJ32" s="41"/>
      <c r="DUU32" s="41"/>
      <c r="DVF32" s="41"/>
      <c r="DVQ32" s="41"/>
      <c r="DWB32" s="41"/>
      <c r="DWM32" s="41"/>
      <c r="DWX32" s="41"/>
      <c r="DXI32" s="41"/>
      <c r="DXT32" s="41"/>
      <c r="DYE32" s="41"/>
      <c r="DYP32" s="41"/>
      <c r="DZA32" s="41"/>
      <c r="DZL32" s="41"/>
      <c r="DZW32" s="41"/>
      <c r="EAH32" s="41"/>
      <c r="EAS32" s="41"/>
      <c r="EBD32" s="41"/>
      <c r="EBO32" s="41"/>
      <c r="EBZ32" s="41"/>
      <c r="ECK32" s="41"/>
      <c r="ECV32" s="41"/>
      <c r="EDG32" s="41"/>
      <c r="EDR32" s="41"/>
      <c r="EEC32" s="41"/>
      <c r="EEN32" s="41"/>
      <c r="EEY32" s="41"/>
      <c r="EFJ32" s="41"/>
      <c r="EFU32" s="41"/>
      <c r="EGF32" s="41"/>
      <c r="EGQ32" s="41"/>
      <c r="EHB32" s="41"/>
      <c r="EHM32" s="41"/>
      <c r="EHX32" s="41"/>
      <c r="EII32" s="41"/>
      <c r="EIT32" s="41"/>
      <c r="EJE32" s="41"/>
      <c r="EJP32" s="41"/>
      <c r="EKA32" s="41"/>
      <c r="EKL32" s="41"/>
      <c r="EKW32" s="41"/>
      <c r="ELH32" s="41"/>
      <c r="ELS32" s="41"/>
      <c r="EMD32" s="41"/>
      <c r="EMO32" s="41"/>
      <c r="EMZ32" s="41"/>
      <c r="ENK32" s="41"/>
      <c r="ENV32" s="41"/>
      <c r="EOG32" s="41"/>
      <c r="EOR32" s="41"/>
      <c r="EPC32" s="41"/>
      <c r="EPN32" s="41"/>
      <c r="EPY32" s="41"/>
      <c r="EQJ32" s="41"/>
      <c r="EQU32" s="41"/>
      <c r="ERF32" s="41"/>
      <c r="ERQ32" s="41"/>
      <c r="ESB32" s="41"/>
      <c r="ESM32" s="41"/>
      <c r="ESX32" s="41"/>
      <c r="ETI32" s="41"/>
      <c r="ETT32" s="41"/>
      <c r="EUE32" s="41"/>
      <c r="EUP32" s="41"/>
      <c r="EVA32" s="41"/>
      <c r="EVL32" s="41"/>
      <c r="EVW32" s="41"/>
      <c r="EWH32" s="41"/>
      <c r="EWS32" s="41"/>
      <c r="EXD32" s="41"/>
      <c r="EXO32" s="41"/>
      <c r="EXZ32" s="41"/>
      <c r="EYK32" s="41"/>
      <c r="EYV32" s="41"/>
      <c r="EZG32" s="41"/>
      <c r="EZR32" s="41"/>
      <c r="FAC32" s="41"/>
      <c r="FAN32" s="41"/>
      <c r="FAY32" s="41"/>
      <c r="FBJ32" s="41"/>
      <c r="FBU32" s="41"/>
      <c r="FCF32" s="41"/>
      <c r="FCQ32" s="41"/>
      <c r="FDB32" s="41"/>
      <c r="FDM32" s="41"/>
      <c r="FDX32" s="41"/>
      <c r="FEI32" s="41"/>
      <c r="FET32" s="41"/>
      <c r="FFE32" s="41"/>
      <c r="FFP32" s="41"/>
      <c r="FGA32" s="41"/>
      <c r="FGL32" s="41"/>
      <c r="FGW32" s="41"/>
      <c r="FHH32" s="41"/>
      <c r="FHS32" s="41"/>
      <c r="FID32" s="41"/>
      <c r="FIO32" s="41"/>
      <c r="FIZ32" s="41"/>
      <c r="FJK32" s="41"/>
      <c r="FJV32" s="41"/>
      <c r="FKG32" s="41"/>
      <c r="FKR32" s="41"/>
      <c r="FLC32" s="41"/>
      <c r="FLN32" s="41"/>
      <c r="FLY32" s="41"/>
      <c r="FMJ32" s="41"/>
      <c r="FMU32" s="41"/>
      <c r="FNF32" s="41"/>
      <c r="FNQ32" s="41"/>
      <c r="FOB32" s="41"/>
      <c r="FOM32" s="41"/>
      <c r="FOX32" s="41"/>
      <c r="FPI32" s="41"/>
      <c r="FPT32" s="41"/>
      <c r="FQE32" s="41"/>
      <c r="FQP32" s="41"/>
      <c r="FRA32" s="41"/>
      <c r="FRL32" s="41"/>
      <c r="FRW32" s="41"/>
      <c r="FSH32" s="41"/>
      <c r="FSS32" s="41"/>
      <c r="FTD32" s="41"/>
      <c r="FTO32" s="41"/>
      <c r="FTZ32" s="41"/>
      <c r="FUK32" s="41"/>
      <c r="FUV32" s="41"/>
      <c r="FVG32" s="41"/>
      <c r="FVR32" s="41"/>
      <c r="FWC32" s="41"/>
      <c r="FWN32" s="41"/>
      <c r="FWY32" s="41"/>
      <c r="FXJ32" s="41"/>
      <c r="FXU32" s="41"/>
      <c r="FYF32" s="41"/>
      <c r="FYQ32" s="41"/>
      <c r="FZB32" s="41"/>
      <c r="FZM32" s="41"/>
      <c r="FZX32" s="41"/>
      <c r="GAI32" s="41"/>
      <c r="GAT32" s="41"/>
      <c r="GBE32" s="41"/>
      <c r="GBP32" s="41"/>
      <c r="GCA32" s="41"/>
      <c r="GCL32" s="41"/>
      <c r="GCW32" s="41"/>
      <c r="GDH32" s="41"/>
      <c r="GDS32" s="41"/>
      <c r="GED32" s="41"/>
      <c r="GEO32" s="41"/>
      <c r="GEZ32" s="41"/>
      <c r="GFK32" s="41"/>
      <c r="GFV32" s="41"/>
      <c r="GGG32" s="41"/>
      <c r="GGR32" s="41"/>
      <c r="GHC32" s="41"/>
      <c r="GHN32" s="41"/>
      <c r="GHY32" s="41"/>
      <c r="GIJ32" s="41"/>
      <c r="GIU32" s="41"/>
      <c r="GJF32" s="41"/>
      <c r="GJQ32" s="41"/>
      <c r="GKB32" s="41"/>
      <c r="GKM32" s="41"/>
      <c r="GKX32" s="41"/>
      <c r="GLI32" s="41"/>
      <c r="GLT32" s="41"/>
      <c r="GME32" s="41"/>
      <c r="GMP32" s="41"/>
      <c r="GNA32" s="41"/>
      <c r="GNL32" s="41"/>
      <c r="GNW32" s="41"/>
      <c r="GOH32" s="41"/>
      <c r="GOS32" s="41"/>
      <c r="GPD32" s="41"/>
      <c r="GPO32" s="41"/>
      <c r="GPZ32" s="41"/>
      <c r="GQK32" s="41"/>
      <c r="GQV32" s="41"/>
      <c r="GRG32" s="41"/>
      <c r="GRR32" s="41"/>
      <c r="GSC32" s="41"/>
      <c r="GSN32" s="41"/>
      <c r="GSY32" s="41"/>
      <c r="GTJ32" s="41"/>
      <c r="GTU32" s="41"/>
      <c r="GUF32" s="41"/>
      <c r="GUQ32" s="41"/>
      <c r="GVB32" s="41"/>
      <c r="GVM32" s="41"/>
      <c r="GVX32" s="41"/>
      <c r="GWI32" s="41"/>
      <c r="GWT32" s="41"/>
      <c r="GXE32" s="41"/>
      <c r="GXP32" s="41"/>
      <c r="GYA32" s="41"/>
      <c r="GYL32" s="41"/>
      <c r="GYW32" s="41"/>
      <c r="GZH32" s="41"/>
      <c r="GZS32" s="41"/>
      <c r="HAD32" s="41"/>
      <c r="HAO32" s="41"/>
      <c r="HAZ32" s="41"/>
      <c r="HBK32" s="41"/>
      <c r="HBV32" s="41"/>
      <c r="HCG32" s="41"/>
      <c r="HCR32" s="41"/>
      <c r="HDC32" s="41"/>
      <c r="HDN32" s="41"/>
      <c r="HDY32" s="41"/>
      <c r="HEJ32" s="41"/>
      <c r="HEU32" s="41"/>
      <c r="HFF32" s="41"/>
      <c r="HFQ32" s="41"/>
      <c r="HGB32" s="41"/>
      <c r="HGM32" s="41"/>
      <c r="HGX32" s="41"/>
      <c r="HHI32" s="41"/>
      <c r="HHT32" s="41"/>
      <c r="HIE32" s="41"/>
      <c r="HIP32" s="41"/>
      <c r="HJA32" s="41"/>
      <c r="HJL32" s="41"/>
      <c r="HJW32" s="41"/>
      <c r="HKH32" s="41"/>
      <c r="HKS32" s="41"/>
      <c r="HLD32" s="41"/>
      <c r="HLO32" s="41"/>
      <c r="HLZ32" s="41"/>
      <c r="HMK32" s="41"/>
      <c r="HMV32" s="41"/>
      <c r="HNG32" s="41"/>
      <c r="HNR32" s="41"/>
      <c r="HOC32" s="41"/>
      <c r="HON32" s="41"/>
      <c r="HOY32" s="41"/>
      <c r="HPJ32" s="41"/>
      <c r="HPU32" s="41"/>
      <c r="HQF32" s="41"/>
      <c r="HQQ32" s="41"/>
      <c r="HRB32" s="41"/>
      <c r="HRM32" s="41"/>
      <c r="HRX32" s="41"/>
      <c r="HSI32" s="41"/>
      <c r="HST32" s="41"/>
      <c r="HTE32" s="41"/>
      <c r="HTP32" s="41"/>
      <c r="HUA32" s="41"/>
      <c r="HUL32" s="41"/>
      <c r="HUW32" s="41"/>
      <c r="HVH32" s="41"/>
      <c r="HVS32" s="41"/>
      <c r="HWD32" s="41"/>
      <c r="HWO32" s="41"/>
      <c r="HWZ32" s="41"/>
      <c r="HXK32" s="41"/>
      <c r="HXV32" s="41"/>
      <c r="HYG32" s="41"/>
      <c r="HYR32" s="41"/>
      <c r="HZC32" s="41"/>
      <c r="HZN32" s="41"/>
      <c r="HZY32" s="41"/>
      <c r="IAJ32" s="41"/>
      <c r="IAU32" s="41"/>
      <c r="IBF32" s="41"/>
      <c r="IBQ32" s="41"/>
      <c r="ICB32" s="41"/>
      <c r="ICM32" s="41"/>
      <c r="ICX32" s="41"/>
      <c r="IDI32" s="41"/>
      <c r="IDT32" s="41"/>
      <c r="IEE32" s="41"/>
      <c r="IEP32" s="41"/>
      <c r="IFA32" s="41"/>
      <c r="IFL32" s="41"/>
      <c r="IFW32" s="41"/>
      <c r="IGH32" s="41"/>
      <c r="IGS32" s="41"/>
      <c r="IHD32" s="41"/>
      <c r="IHO32" s="41"/>
      <c r="IHZ32" s="41"/>
      <c r="IIK32" s="41"/>
      <c r="IIV32" s="41"/>
      <c r="IJG32" s="41"/>
      <c r="IJR32" s="41"/>
      <c r="IKC32" s="41"/>
      <c r="IKN32" s="41"/>
      <c r="IKY32" s="41"/>
      <c r="ILJ32" s="41"/>
      <c r="ILU32" s="41"/>
      <c r="IMF32" s="41"/>
      <c r="IMQ32" s="41"/>
      <c r="INB32" s="41"/>
      <c r="INM32" s="41"/>
      <c r="INX32" s="41"/>
      <c r="IOI32" s="41"/>
      <c r="IOT32" s="41"/>
      <c r="IPE32" s="41"/>
      <c r="IPP32" s="41"/>
      <c r="IQA32" s="41"/>
      <c r="IQL32" s="41"/>
      <c r="IQW32" s="41"/>
      <c r="IRH32" s="41"/>
      <c r="IRS32" s="41"/>
      <c r="ISD32" s="41"/>
      <c r="ISO32" s="41"/>
      <c r="ISZ32" s="41"/>
      <c r="ITK32" s="41"/>
      <c r="ITV32" s="41"/>
      <c r="IUG32" s="41"/>
      <c r="IUR32" s="41"/>
      <c r="IVC32" s="41"/>
      <c r="IVN32" s="41"/>
      <c r="IVY32" s="41"/>
      <c r="IWJ32" s="41"/>
      <c r="IWU32" s="41"/>
      <c r="IXF32" s="41"/>
      <c r="IXQ32" s="41"/>
      <c r="IYB32" s="41"/>
      <c r="IYM32" s="41"/>
      <c r="IYX32" s="41"/>
      <c r="IZI32" s="41"/>
      <c r="IZT32" s="41"/>
      <c r="JAE32" s="41"/>
      <c r="JAP32" s="41"/>
      <c r="JBA32" s="41"/>
      <c r="JBL32" s="41"/>
      <c r="JBW32" s="41"/>
      <c r="JCH32" s="41"/>
      <c r="JCS32" s="41"/>
      <c r="JDD32" s="41"/>
      <c r="JDO32" s="41"/>
      <c r="JDZ32" s="41"/>
      <c r="JEK32" s="41"/>
      <c r="JEV32" s="41"/>
      <c r="JFG32" s="41"/>
      <c r="JFR32" s="41"/>
      <c r="JGC32" s="41"/>
      <c r="JGN32" s="41"/>
      <c r="JGY32" s="41"/>
      <c r="JHJ32" s="41"/>
      <c r="JHU32" s="41"/>
      <c r="JIF32" s="41"/>
      <c r="JIQ32" s="41"/>
      <c r="JJB32" s="41"/>
      <c r="JJM32" s="41"/>
      <c r="JJX32" s="41"/>
      <c r="JKI32" s="41"/>
      <c r="JKT32" s="41"/>
      <c r="JLE32" s="41"/>
      <c r="JLP32" s="41"/>
      <c r="JMA32" s="41"/>
      <c r="JML32" s="41"/>
      <c r="JMW32" s="41"/>
      <c r="JNH32" s="41"/>
      <c r="JNS32" s="41"/>
      <c r="JOD32" s="41"/>
      <c r="JOO32" s="41"/>
      <c r="JOZ32" s="41"/>
      <c r="JPK32" s="41"/>
      <c r="JPV32" s="41"/>
      <c r="JQG32" s="41"/>
      <c r="JQR32" s="41"/>
      <c r="JRC32" s="41"/>
      <c r="JRN32" s="41"/>
      <c r="JRY32" s="41"/>
      <c r="JSJ32" s="41"/>
      <c r="JSU32" s="41"/>
      <c r="JTF32" s="41"/>
      <c r="JTQ32" s="41"/>
      <c r="JUB32" s="41"/>
      <c r="JUM32" s="41"/>
      <c r="JUX32" s="41"/>
      <c r="JVI32" s="41"/>
      <c r="JVT32" s="41"/>
      <c r="JWE32" s="41"/>
      <c r="JWP32" s="41"/>
      <c r="JXA32" s="41"/>
      <c r="JXL32" s="41"/>
      <c r="JXW32" s="41"/>
      <c r="JYH32" s="41"/>
      <c r="JYS32" s="41"/>
      <c r="JZD32" s="41"/>
      <c r="JZO32" s="41"/>
      <c r="JZZ32" s="41"/>
      <c r="KAK32" s="41"/>
      <c r="KAV32" s="41"/>
      <c r="KBG32" s="41"/>
      <c r="KBR32" s="41"/>
      <c r="KCC32" s="41"/>
      <c r="KCN32" s="41"/>
      <c r="KCY32" s="41"/>
      <c r="KDJ32" s="41"/>
      <c r="KDU32" s="41"/>
      <c r="KEF32" s="41"/>
      <c r="KEQ32" s="41"/>
      <c r="KFB32" s="41"/>
      <c r="KFM32" s="41"/>
      <c r="KFX32" s="41"/>
      <c r="KGI32" s="41"/>
      <c r="KGT32" s="41"/>
      <c r="KHE32" s="41"/>
      <c r="KHP32" s="41"/>
      <c r="KIA32" s="41"/>
      <c r="KIL32" s="41"/>
      <c r="KIW32" s="41"/>
      <c r="KJH32" s="41"/>
      <c r="KJS32" s="41"/>
      <c r="KKD32" s="41"/>
      <c r="KKO32" s="41"/>
      <c r="KKZ32" s="41"/>
      <c r="KLK32" s="41"/>
      <c r="KLV32" s="41"/>
      <c r="KMG32" s="41"/>
      <c r="KMR32" s="41"/>
      <c r="KNC32" s="41"/>
      <c r="KNN32" s="41"/>
      <c r="KNY32" s="41"/>
      <c r="KOJ32" s="41"/>
      <c r="KOU32" s="41"/>
      <c r="KPF32" s="41"/>
      <c r="KPQ32" s="41"/>
      <c r="KQB32" s="41"/>
      <c r="KQM32" s="41"/>
      <c r="KQX32" s="41"/>
      <c r="KRI32" s="41"/>
      <c r="KRT32" s="41"/>
      <c r="KSE32" s="41"/>
      <c r="KSP32" s="41"/>
      <c r="KTA32" s="41"/>
      <c r="KTL32" s="41"/>
      <c r="KTW32" s="41"/>
      <c r="KUH32" s="41"/>
      <c r="KUS32" s="41"/>
      <c r="KVD32" s="41"/>
      <c r="KVO32" s="41"/>
      <c r="KVZ32" s="41"/>
      <c r="KWK32" s="41"/>
      <c r="KWV32" s="41"/>
      <c r="KXG32" s="41"/>
      <c r="KXR32" s="41"/>
      <c r="KYC32" s="41"/>
      <c r="KYN32" s="41"/>
      <c r="KYY32" s="41"/>
      <c r="KZJ32" s="41"/>
      <c r="KZU32" s="41"/>
      <c r="LAF32" s="41"/>
      <c r="LAQ32" s="41"/>
      <c r="LBB32" s="41"/>
      <c r="LBM32" s="41"/>
      <c r="LBX32" s="41"/>
      <c r="LCI32" s="41"/>
      <c r="LCT32" s="41"/>
      <c r="LDE32" s="41"/>
      <c r="LDP32" s="41"/>
      <c r="LEA32" s="41"/>
      <c r="LEL32" s="41"/>
      <c r="LEW32" s="41"/>
      <c r="LFH32" s="41"/>
      <c r="LFS32" s="41"/>
      <c r="LGD32" s="41"/>
      <c r="LGO32" s="41"/>
      <c r="LGZ32" s="41"/>
      <c r="LHK32" s="41"/>
      <c r="LHV32" s="41"/>
      <c r="LIG32" s="41"/>
      <c r="LIR32" s="41"/>
      <c r="LJC32" s="41"/>
      <c r="LJN32" s="41"/>
      <c r="LJY32" s="41"/>
      <c r="LKJ32" s="41"/>
      <c r="LKU32" s="41"/>
      <c r="LLF32" s="41"/>
      <c r="LLQ32" s="41"/>
      <c r="LMB32" s="41"/>
      <c r="LMM32" s="41"/>
      <c r="LMX32" s="41"/>
      <c r="LNI32" s="41"/>
      <c r="LNT32" s="41"/>
      <c r="LOE32" s="41"/>
      <c r="LOP32" s="41"/>
      <c r="LPA32" s="41"/>
      <c r="LPL32" s="41"/>
      <c r="LPW32" s="41"/>
      <c r="LQH32" s="41"/>
      <c r="LQS32" s="41"/>
      <c r="LRD32" s="41"/>
      <c r="LRO32" s="41"/>
      <c r="LRZ32" s="41"/>
      <c r="LSK32" s="41"/>
      <c r="LSV32" s="41"/>
      <c r="LTG32" s="41"/>
      <c r="LTR32" s="41"/>
      <c r="LUC32" s="41"/>
      <c r="LUN32" s="41"/>
      <c r="LUY32" s="41"/>
      <c r="LVJ32" s="41"/>
      <c r="LVU32" s="41"/>
      <c r="LWF32" s="41"/>
      <c r="LWQ32" s="41"/>
      <c r="LXB32" s="41"/>
      <c r="LXM32" s="41"/>
      <c r="LXX32" s="41"/>
      <c r="LYI32" s="41"/>
      <c r="LYT32" s="41"/>
      <c r="LZE32" s="41"/>
      <c r="LZP32" s="41"/>
      <c r="MAA32" s="41"/>
      <c r="MAL32" s="41"/>
      <c r="MAW32" s="41"/>
      <c r="MBH32" s="41"/>
      <c r="MBS32" s="41"/>
      <c r="MCD32" s="41"/>
      <c r="MCO32" s="41"/>
      <c r="MCZ32" s="41"/>
      <c r="MDK32" s="41"/>
      <c r="MDV32" s="41"/>
      <c r="MEG32" s="41"/>
      <c r="MER32" s="41"/>
      <c r="MFC32" s="41"/>
      <c r="MFN32" s="41"/>
      <c r="MFY32" s="41"/>
      <c r="MGJ32" s="41"/>
      <c r="MGU32" s="41"/>
      <c r="MHF32" s="41"/>
      <c r="MHQ32" s="41"/>
      <c r="MIB32" s="41"/>
      <c r="MIM32" s="41"/>
      <c r="MIX32" s="41"/>
      <c r="MJI32" s="41"/>
      <c r="MJT32" s="41"/>
      <c r="MKE32" s="41"/>
      <c r="MKP32" s="41"/>
      <c r="MLA32" s="41"/>
      <c r="MLL32" s="41"/>
      <c r="MLW32" s="41"/>
      <c r="MMH32" s="41"/>
      <c r="MMS32" s="41"/>
      <c r="MND32" s="41"/>
      <c r="MNO32" s="41"/>
      <c r="MNZ32" s="41"/>
      <c r="MOK32" s="41"/>
      <c r="MOV32" s="41"/>
      <c r="MPG32" s="41"/>
      <c r="MPR32" s="41"/>
      <c r="MQC32" s="41"/>
      <c r="MQN32" s="41"/>
      <c r="MQY32" s="41"/>
      <c r="MRJ32" s="41"/>
      <c r="MRU32" s="41"/>
      <c r="MSF32" s="41"/>
      <c r="MSQ32" s="41"/>
      <c r="MTB32" s="41"/>
      <c r="MTM32" s="41"/>
      <c r="MTX32" s="41"/>
      <c r="MUI32" s="41"/>
      <c r="MUT32" s="41"/>
      <c r="MVE32" s="41"/>
      <c r="MVP32" s="41"/>
      <c r="MWA32" s="41"/>
      <c r="MWL32" s="41"/>
      <c r="MWW32" s="41"/>
      <c r="MXH32" s="41"/>
      <c r="MXS32" s="41"/>
      <c r="MYD32" s="41"/>
      <c r="MYO32" s="41"/>
      <c r="MYZ32" s="41"/>
      <c r="MZK32" s="41"/>
      <c r="MZV32" s="41"/>
      <c r="NAG32" s="41"/>
      <c r="NAR32" s="41"/>
      <c r="NBC32" s="41"/>
      <c r="NBN32" s="41"/>
      <c r="NBY32" s="41"/>
      <c r="NCJ32" s="41"/>
      <c r="NCU32" s="41"/>
      <c r="NDF32" s="41"/>
      <c r="NDQ32" s="41"/>
      <c r="NEB32" s="41"/>
      <c r="NEM32" s="41"/>
      <c r="NEX32" s="41"/>
      <c r="NFI32" s="41"/>
      <c r="NFT32" s="41"/>
      <c r="NGE32" s="41"/>
      <c r="NGP32" s="41"/>
      <c r="NHA32" s="41"/>
      <c r="NHL32" s="41"/>
      <c r="NHW32" s="41"/>
      <c r="NIH32" s="41"/>
      <c r="NIS32" s="41"/>
      <c r="NJD32" s="41"/>
      <c r="NJO32" s="41"/>
      <c r="NJZ32" s="41"/>
      <c r="NKK32" s="41"/>
      <c r="NKV32" s="41"/>
      <c r="NLG32" s="41"/>
      <c r="NLR32" s="41"/>
      <c r="NMC32" s="41"/>
      <c r="NMN32" s="41"/>
      <c r="NMY32" s="41"/>
      <c r="NNJ32" s="41"/>
      <c r="NNU32" s="41"/>
      <c r="NOF32" s="41"/>
      <c r="NOQ32" s="41"/>
      <c r="NPB32" s="41"/>
      <c r="NPM32" s="41"/>
      <c r="NPX32" s="41"/>
      <c r="NQI32" s="41"/>
      <c r="NQT32" s="41"/>
      <c r="NRE32" s="41"/>
      <c r="NRP32" s="41"/>
      <c r="NSA32" s="41"/>
      <c r="NSL32" s="41"/>
      <c r="NSW32" s="41"/>
      <c r="NTH32" s="41"/>
      <c r="NTS32" s="41"/>
      <c r="NUD32" s="41"/>
      <c r="NUO32" s="41"/>
      <c r="NUZ32" s="41"/>
      <c r="NVK32" s="41"/>
      <c r="NVV32" s="41"/>
      <c r="NWG32" s="41"/>
      <c r="NWR32" s="41"/>
      <c r="NXC32" s="41"/>
      <c r="NXN32" s="41"/>
      <c r="NXY32" s="41"/>
      <c r="NYJ32" s="41"/>
      <c r="NYU32" s="41"/>
      <c r="NZF32" s="41"/>
      <c r="NZQ32" s="41"/>
      <c r="OAB32" s="41"/>
      <c r="OAM32" s="41"/>
      <c r="OAX32" s="41"/>
      <c r="OBI32" s="41"/>
      <c r="OBT32" s="41"/>
      <c r="OCE32" s="41"/>
      <c r="OCP32" s="41"/>
      <c r="ODA32" s="41"/>
      <c r="ODL32" s="41"/>
      <c r="ODW32" s="41"/>
      <c r="OEH32" s="41"/>
      <c r="OES32" s="41"/>
      <c r="OFD32" s="41"/>
      <c r="OFO32" s="41"/>
      <c r="OFZ32" s="41"/>
      <c r="OGK32" s="41"/>
      <c r="OGV32" s="41"/>
      <c r="OHG32" s="41"/>
      <c r="OHR32" s="41"/>
      <c r="OIC32" s="41"/>
      <c r="OIN32" s="41"/>
      <c r="OIY32" s="41"/>
      <c r="OJJ32" s="41"/>
      <c r="OJU32" s="41"/>
      <c r="OKF32" s="41"/>
      <c r="OKQ32" s="41"/>
      <c r="OLB32" s="41"/>
      <c r="OLM32" s="41"/>
      <c r="OLX32" s="41"/>
      <c r="OMI32" s="41"/>
      <c r="OMT32" s="41"/>
      <c r="ONE32" s="41"/>
      <c r="ONP32" s="41"/>
      <c r="OOA32" s="41"/>
      <c r="OOL32" s="41"/>
      <c r="OOW32" s="41"/>
      <c r="OPH32" s="41"/>
      <c r="OPS32" s="41"/>
      <c r="OQD32" s="41"/>
      <c r="OQO32" s="41"/>
      <c r="OQZ32" s="41"/>
      <c r="ORK32" s="41"/>
      <c r="ORV32" s="41"/>
      <c r="OSG32" s="41"/>
      <c r="OSR32" s="41"/>
      <c r="OTC32" s="41"/>
      <c r="OTN32" s="41"/>
      <c r="OTY32" s="41"/>
      <c r="OUJ32" s="41"/>
      <c r="OUU32" s="41"/>
      <c r="OVF32" s="41"/>
      <c r="OVQ32" s="41"/>
      <c r="OWB32" s="41"/>
      <c r="OWM32" s="41"/>
      <c r="OWX32" s="41"/>
      <c r="OXI32" s="41"/>
      <c r="OXT32" s="41"/>
      <c r="OYE32" s="41"/>
      <c r="OYP32" s="41"/>
      <c r="OZA32" s="41"/>
      <c r="OZL32" s="41"/>
      <c r="OZW32" s="41"/>
      <c r="PAH32" s="41"/>
      <c r="PAS32" s="41"/>
      <c r="PBD32" s="41"/>
      <c r="PBO32" s="41"/>
      <c r="PBZ32" s="41"/>
      <c r="PCK32" s="41"/>
      <c r="PCV32" s="41"/>
      <c r="PDG32" s="41"/>
      <c r="PDR32" s="41"/>
      <c r="PEC32" s="41"/>
      <c r="PEN32" s="41"/>
      <c r="PEY32" s="41"/>
      <c r="PFJ32" s="41"/>
      <c r="PFU32" s="41"/>
      <c r="PGF32" s="41"/>
      <c r="PGQ32" s="41"/>
      <c r="PHB32" s="41"/>
      <c r="PHM32" s="41"/>
      <c r="PHX32" s="41"/>
      <c r="PII32" s="41"/>
      <c r="PIT32" s="41"/>
      <c r="PJE32" s="41"/>
      <c r="PJP32" s="41"/>
      <c r="PKA32" s="41"/>
      <c r="PKL32" s="41"/>
      <c r="PKW32" s="41"/>
      <c r="PLH32" s="41"/>
      <c r="PLS32" s="41"/>
      <c r="PMD32" s="41"/>
      <c r="PMO32" s="41"/>
      <c r="PMZ32" s="41"/>
      <c r="PNK32" s="41"/>
      <c r="PNV32" s="41"/>
      <c r="POG32" s="41"/>
      <c r="POR32" s="41"/>
      <c r="PPC32" s="41"/>
      <c r="PPN32" s="41"/>
      <c r="PPY32" s="41"/>
      <c r="PQJ32" s="41"/>
      <c r="PQU32" s="41"/>
      <c r="PRF32" s="41"/>
      <c r="PRQ32" s="41"/>
      <c r="PSB32" s="41"/>
      <c r="PSM32" s="41"/>
      <c r="PSX32" s="41"/>
      <c r="PTI32" s="41"/>
      <c r="PTT32" s="41"/>
      <c r="PUE32" s="41"/>
      <c r="PUP32" s="41"/>
      <c r="PVA32" s="41"/>
      <c r="PVL32" s="41"/>
      <c r="PVW32" s="41"/>
      <c r="PWH32" s="41"/>
      <c r="PWS32" s="41"/>
      <c r="PXD32" s="41"/>
      <c r="PXO32" s="41"/>
      <c r="PXZ32" s="41"/>
      <c r="PYK32" s="41"/>
      <c r="PYV32" s="41"/>
      <c r="PZG32" s="41"/>
      <c r="PZR32" s="41"/>
      <c r="QAC32" s="41"/>
      <c r="QAN32" s="41"/>
      <c r="QAY32" s="41"/>
      <c r="QBJ32" s="41"/>
      <c r="QBU32" s="41"/>
      <c r="QCF32" s="41"/>
      <c r="QCQ32" s="41"/>
      <c r="QDB32" s="41"/>
      <c r="QDM32" s="41"/>
      <c r="QDX32" s="41"/>
      <c r="QEI32" s="41"/>
      <c r="QET32" s="41"/>
      <c r="QFE32" s="41"/>
      <c r="QFP32" s="41"/>
      <c r="QGA32" s="41"/>
      <c r="QGL32" s="41"/>
      <c r="QGW32" s="41"/>
      <c r="QHH32" s="41"/>
      <c r="QHS32" s="41"/>
      <c r="QID32" s="41"/>
      <c r="QIO32" s="41"/>
      <c r="QIZ32" s="41"/>
      <c r="QJK32" s="41"/>
      <c r="QJV32" s="41"/>
      <c r="QKG32" s="41"/>
      <c r="QKR32" s="41"/>
      <c r="QLC32" s="41"/>
      <c r="QLN32" s="41"/>
      <c r="QLY32" s="41"/>
      <c r="QMJ32" s="41"/>
      <c r="QMU32" s="41"/>
      <c r="QNF32" s="41"/>
      <c r="QNQ32" s="41"/>
      <c r="QOB32" s="41"/>
      <c r="QOM32" s="41"/>
      <c r="QOX32" s="41"/>
      <c r="QPI32" s="41"/>
      <c r="QPT32" s="41"/>
      <c r="QQE32" s="41"/>
      <c r="QQP32" s="41"/>
      <c r="QRA32" s="41"/>
      <c r="QRL32" s="41"/>
      <c r="QRW32" s="41"/>
      <c r="QSH32" s="41"/>
      <c r="QSS32" s="41"/>
      <c r="QTD32" s="41"/>
      <c r="QTO32" s="41"/>
      <c r="QTZ32" s="41"/>
      <c r="QUK32" s="41"/>
      <c r="QUV32" s="41"/>
      <c r="QVG32" s="41"/>
      <c r="QVR32" s="41"/>
      <c r="QWC32" s="41"/>
      <c r="QWN32" s="41"/>
      <c r="QWY32" s="41"/>
      <c r="QXJ32" s="41"/>
      <c r="QXU32" s="41"/>
      <c r="QYF32" s="41"/>
      <c r="QYQ32" s="41"/>
      <c r="QZB32" s="41"/>
      <c r="QZM32" s="41"/>
      <c r="QZX32" s="41"/>
      <c r="RAI32" s="41"/>
      <c r="RAT32" s="41"/>
      <c r="RBE32" s="41"/>
      <c r="RBP32" s="41"/>
      <c r="RCA32" s="41"/>
      <c r="RCL32" s="41"/>
      <c r="RCW32" s="41"/>
      <c r="RDH32" s="41"/>
      <c r="RDS32" s="41"/>
      <c r="RED32" s="41"/>
      <c r="REO32" s="41"/>
      <c r="REZ32" s="41"/>
      <c r="RFK32" s="41"/>
      <c r="RFV32" s="41"/>
      <c r="RGG32" s="41"/>
      <c r="RGR32" s="41"/>
      <c r="RHC32" s="41"/>
      <c r="RHN32" s="41"/>
      <c r="RHY32" s="41"/>
      <c r="RIJ32" s="41"/>
      <c r="RIU32" s="41"/>
      <c r="RJF32" s="41"/>
      <c r="RJQ32" s="41"/>
      <c r="RKB32" s="41"/>
      <c r="RKM32" s="41"/>
      <c r="RKX32" s="41"/>
      <c r="RLI32" s="41"/>
      <c r="RLT32" s="41"/>
      <c r="RME32" s="41"/>
      <c r="RMP32" s="41"/>
      <c r="RNA32" s="41"/>
      <c r="RNL32" s="41"/>
      <c r="RNW32" s="41"/>
      <c r="ROH32" s="41"/>
      <c r="ROS32" s="41"/>
      <c r="RPD32" s="41"/>
      <c r="RPO32" s="41"/>
      <c r="RPZ32" s="41"/>
      <c r="RQK32" s="41"/>
      <c r="RQV32" s="41"/>
      <c r="RRG32" s="41"/>
      <c r="RRR32" s="41"/>
      <c r="RSC32" s="41"/>
      <c r="RSN32" s="41"/>
      <c r="RSY32" s="41"/>
      <c r="RTJ32" s="41"/>
      <c r="RTU32" s="41"/>
      <c r="RUF32" s="41"/>
      <c r="RUQ32" s="41"/>
      <c r="RVB32" s="41"/>
      <c r="RVM32" s="41"/>
      <c r="RVX32" s="41"/>
      <c r="RWI32" s="41"/>
      <c r="RWT32" s="41"/>
      <c r="RXE32" s="41"/>
      <c r="RXP32" s="41"/>
      <c r="RYA32" s="41"/>
      <c r="RYL32" s="41"/>
      <c r="RYW32" s="41"/>
      <c r="RZH32" s="41"/>
      <c r="RZS32" s="41"/>
      <c r="SAD32" s="41"/>
      <c r="SAO32" s="41"/>
      <c r="SAZ32" s="41"/>
      <c r="SBK32" s="41"/>
      <c r="SBV32" s="41"/>
      <c r="SCG32" s="41"/>
      <c r="SCR32" s="41"/>
      <c r="SDC32" s="41"/>
      <c r="SDN32" s="41"/>
      <c r="SDY32" s="41"/>
      <c r="SEJ32" s="41"/>
      <c r="SEU32" s="41"/>
      <c r="SFF32" s="41"/>
      <c r="SFQ32" s="41"/>
      <c r="SGB32" s="41"/>
      <c r="SGM32" s="41"/>
      <c r="SGX32" s="41"/>
      <c r="SHI32" s="41"/>
      <c r="SHT32" s="41"/>
      <c r="SIE32" s="41"/>
      <c r="SIP32" s="41"/>
      <c r="SJA32" s="41"/>
      <c r="SJL32" s="41"/>
      <c r="SJW32" s="41"/>
      <c r="SKH32" s="41"/>
      <c r="SKS32" s="41"/>
      <c r="SLD32" s="41"/>
      <c r="SLO32" s="41"/>
      <c r="SLZ32" s="41"/>
      <c r="SMK32" s="41"/>
      <c r="SMV32" s="41"/>
      <c r="SNG32" s="41"/>
      <c r="SNR32" s="41"/>
      <c r="SOC32" s="41"/>
      <c r="SON32" s="41"/>
      <c r="SOY32" s="41"/>
      <c r="SPJ32" s="41"/>
      <c r="SPU32" s="41"/>
      <c r="SQF32" s="41"/>
      <c r="SQQ32" s="41"/>
      <c r="SRB32" s="41"/>
      <c r="SRM32" s="41"/>
      <c r="SRX32" s="41"/>
      <c r="SSI32" s="41"/>
      <c r="SST32" s="41"/>
      <c r="STE32" s="41"/>
      <c r="STP32" s="41"/>
      <c r="SUA32" s="41"/>
      <c r="SUL32" s="41"/>
      <c r="SUW32" s="41"/>
      <c r="SVH32" s="41"/>
      <c r="SVS32" s="41"/>
      <c r="SWD32" s="41"/>
      <c r="SWO32" s="41"/>
      <c r="SWZ32" s="41"/>
      <c r="SXK32" s="41"/>
      <c r="SXV32" s="41"/>
      <c r="SYG32" s="41"/>
      <c r="SYR32" s="41"/>
      <c r="SZC32" s="41"/>
      <c r="SZN32" s="41"/>
      <c r="SZY32" s="41"/>
      <c r="TAJ32" s="41"/>
      <c r="TAU32" s="41"/>
      <c r="TBF32" s="41"/>
      <c r="TBQ32" s="41"/>
      <c r="TCB32" s="41"/>
      <c r="TCM32" s="41"/>
      <c r="TCX32" s="41"/>
      <c r="TDI32" s="41"/>
      <c r="TDT32" s="41"/>
      <c r="TEE32" s="41"/>
      <c r="TEP32" s="41"/>
      <c r="TFA32" s="41"/>
      <c r="TFL32" s="41"/>
      <c r="TFW32" s="41"/>
      <c r="TGH32" s="41"/>
      <c r="TGS32" s="41"/>
      <c r="THD32" s="41"/>
      <c r="THO32" s="41"/>
      <c r="THZ32" s="41"/>
      <c r="TIK32" s="41"/>
      <c r="TIV32" s="41"/>
      <c r="TJG32" s="41"/>
      <c r="TJR32" s="41"/>
      <c r="TKC32" s="41"/>
      <c r="TKN32" s="41"/>
      <c r="TKY32" s="41"/>
      <c r="TLJ32" s="41"/>
      <c r="TLU32" s="41"/>
      <c r="TMF32" s="41"/>
      <c r="TMQ32" s="41"/>
      <c r="TNB32" s="41"/>
      <c r="TNM32" s="41"/>
      <c r="TNX32" s="41"/>
      <c r="TOI32" s="41"/>
      <c r="TOT32" s="41"/>
      <c r="TPE32" s="41"/>
      <c r="TPP32" s="41"/>
      <c r="TQA32" s="41"/>
      <c r="TQL32" s="41"/>
      <c r="TQW32" s="41"/>
      <c r="TRH32" s="41"/>
      <c r="TRS32" s="41"/>
      <c r="TSD32" s="41"/>
      <c r="TSO32" s="41"/>
      <c r="TSZ32" s="41"/>
      <c r="TTK32" s="41"/>
      <c r="TTV32" s="41"/>
      <c r="TUG32" s="41"/>
      <c r="TUR32" s="41"/>
      <c r="TVC32" s="41"/>
      <c r="TVN32" s="41"/>
      <c r="TVY32" s="41"/>
      <c r="TWJ32" s="41"/>
      <c r="TWU32" s="41"/>
      <c r="TXF32" s="41"/>
      <c r="TXQ32" s="41"/>
      <c r="TYB32" s="41"/>
      <c r="TYM32" s="41"/>
      <c r="TYX32" s="41"/>
      <c r="TZI32" s="41"/>
      <c r="TZT32" s="41"/>
      <c r="UAE32" s="41"/>
      <c r="UAP32" s="41"/>
      <c r="UBA32" s="41"/>
      <c r="UBL32" s="41"/>
      <c r="UBW32" s="41"/>
      <c r="UCH32" s="41"/>
      <c r="UCS32" s="41"/>
      <c r="UDD32" s="41"/>
      <c r="UDO32" s="41"/>
      <c r="UDZ32" s="41"/>
      <c r="UEK32" s="41"/>
      <c r="UEV32" s="41"/>
      <c r="UFG32" s="41"/>
      <c r="UFR32" s="41"/>
      <c r="UGC32" s="41"/>
      <c r="UGN32" s="41"/>
      <c r="UGY32" s="41"/>
      <c r="UHJ32" s="41"/>
      <c r="UHU32" s="41"/>
      <c r="UIF32" s="41"/>
      <c r="UIQ32" s="41"/>
      <c r="UJB32" s="41"/>
      <c r="UJM32" s="41"/>
      <c r="UJX32" s="41"/>
      <c r="UKI32" s="41"/>
      <c r="UKT32" s="41"/>
      <c r="ULE32" s="41"/>
      <c r="ULP32" s="41"/>
      <c r="UMA32" s="41"/>
      <c r="UML32" s="41"/>
      <c r="UMW32" s="41"/>
      <c r="UNH32" s="41"/>
      <c r="UNS32" s="41"/>
      <c r="UOD32" s="41"/>
      <c r="UOO32" s="41"/>
      <c r="UOZ32" s="41"/>
      <c r="UPK32" s="41"/>
      <c r="UPV32" s="41"/>
      <c r="UQG32" s="41"/>
      <c r="UQR32" s="41"/>
      <c r="URC32" s="41"/>
      <c r="URN32" s="41"/>
      <c r="URY32" s="41"/>
      <c r="USJ32" s="41"/>
      <c r="USU32" s="41"/>
      <c r="UTF32" s="41"/>
      <c r="UTQ32" s="41"/>
      <c r="UUB32" s="41"/>
      <c r="UUM32" s="41"/>
      <c r="UUX32" s="41"/>
      <c r="UVI32" s="41"/>
      <c r="UVT32" s="41"/>
      <c r="UWE32" s="41"/>
      <c r="UWP32" s="41"/>
      <c r="UXA32" s="41"/>
      <c r="UXL32" s="41"/>
      <c r="UXW32" s="41"/>
      <c r="UYH32" s="41"/>
      <c r="UYS32" s="41"/>
      <c r="UZD32" s="41"/>
      <c r="UZO32" s="41"/>
      <c r="UZZ32" s="41"/>
      <c r="VAK32" s="41"/>
      <c r="VAV32" s="41"/>
      <c r="VBG32" s="41"/>
      <c r="VBR32" s="41"/>
      <c r="VCC32" s="41"/>
      <c r="VCN32" s="41"/>
      <c r="VCY32" s="41"/>
      <c r="VDJ32" s="41"/>
      <c r="VDU32" s="41"/>
      <c r="VEF32" s="41"/>
      <c r="VEQ32" s="41"/>
      <c r="VFB32" s="41"/>
      <c r="VFM32" s="41"/>
      <c r="VFX32" s="41"/>
      <c r="VGI32" s="41"/>
      <c r="VGT32" s="41"/>
      <c r="VHE32" s="41"/>
      <c r="VHP32" s="41"/>
      <c r="VIA32" s="41"/>
      <c r="VIL32" s="41"/>
      <c r="VIW32" s="41"/>
      <c r="VJH32" s="41"/>
      <c r="VJS32" s="41"/>
      <c r="VKD32" s="41"/>
      <c r="VKO32" s="41"/>
      <c r="VKZ32" s="41"/>
      <c r="VLK32" s="41"/>
      <c r="VLV32" s="41"/>
      <c r="VMG32" s="41"/>
      <c r="VMR32" s="41"/>
      <c r="VNC32" s="41"/>
      <c r="VNN32" s="41"/>
      <c r="VNY32" s="41"/>
      <c r="VOJ32" s="41"/>
      <c r="VOU32" s="41"/>
      <c r="VPF32" s="41"/>
      <c r="VPQ32" s="41"/>
      <c r="VQB32" s="41"/>
      <c r="VQM32" s="41"/>
      <c r="VQX32" s="41"/>
      <c r="VRI32" s="41"/>
      <c r="VRT32" s="41"/>
      <c r="VSE32" s="41"/>
      <c r="VSP32" s="41"/>
      <c r="VTA32" s="41"/>
      <c r="VTL32" s="41"/>
      <c r="VTW32" s="41"/>
      <c r="VUH32" s="41"/>
      <c r="VUS32" s="41"/>
      <c r="VVD32" s="41"/>
      <c r="VVO32" s="41"/>
      <c r="VVZ32" s="41"/>
      <c r="VWK32" s="41"/>
      <c r="VWV32" s="41"/>
      <c r="VXG32" s="41"/>
      <c r="VXR32" s="41"/>
      <c r="VYC32" s="41"/>
      <c r="VYN32" s="41"/>
      <c r="VYY32" s="41"/>
      <c r="VZJ32" s="41"/>
      <c r="VZU32" s="41"/>
      <c r="WAF32" s="41"/>
      <c r="WAQ32" s="41"/>
      <c r="WBB32" s="41"/>
      <c r="WBM32" s="41"/>
      <c r="WBX32" s="41"/>
      <c r="WCI32" s="41"/>
      <c r="WCT32" s="41"/>
      <c r="WDE32" s="41"/>
      <c r="WDP32" s="41"/>
      <c r="WEA32" s="41"/>
      <c r="WEL32" s="41"/>
      <c r="WEW32" s="41"/>
      <c r="WFH32" s="41"/>
      <c r="WFS32" s="41"/>
      <c r="WGD32" s="41"/>
      <c r="WGO32" s="41"/>
      <c r="WGZ32" s="41"/>
      <c r="WHK32" s="41"/>
      <c r="WHV32" s="41"/>
      <c r="WIG32" s="41"/>
      <c r="WIR32" s="41"/>
      <c r="WJC32" s="41"/>
      <c r="WJN32" s="41"/>
      <c r="WJY32" s="41"/>
      <c r="WKJ32" s="41"/>
      <c r="WKU32" s="41"/>
      <c r="WLF32" s="41"/>
      <c r="WLQ32" s="41"/>
      <c r="WMB32" s="41"/>
      <c r="WMM32" s="41"/>
      <c r="WMX32" s="41"/>
      <c r="WNI32" s="41"/>
      <c r="WNT32" s="41"/>
      <c r="WOE32" s="41"/>
      <c r="WOP32" s="41"/>
      <c r="WPA32" s="41"/>
      <c r="WPL32" s="41"/>
      <c r="WPW32" s="41"/>
      <c r="WQH32" s="41"/>
      <c r="WQS32" s="41"/>
      <c r="WRD32" s="41"/>
      <c r="WRO32" s="41"/>
      <c r="WRZ32" s="41"/>
      <c r="WSK32" s="41"/>
      <c r="WSV32" s="41"/>
      <c r="WTG32" s="41"/>
      <c r="WTR32" s="41"/>
      <c r="WUC32" s="41"/>
      <c r="WUN32" s="41"/>
      <c r="WUY32" s="41"/>
      <c r="WVJ32" s="41"/>
      <c r="WVU32" s="41"/>
      <c r="WWF32" s="41"/>
      <c r="WWQ32" s="41"/>
      <c r="WXB32" s="41"/>
      <c r="WXM32" s="41"/>
      <c r="WXX32" s="41"/>
      <c r="WYI32" s="41"/>
      <c r="WYT32" s="41"/>
      <c r="WZE32" s="41"/>
      <c r="WZP32" s="41"/>
      <c r="XAA32" s="41"/>
      <c r="XAL32" s="41"/>
      <c r="XAW32" s="41"/>
      <c r="XBH32" s="41"/>
      <c r="XBS32" s="41"/>
      <c r="XCD32" s="41"/>
      <c r="XCO32" s="41"/>
      <c r="XCZ32" s="41"/>
      <c r="XDK32" s="41"/>
      <c r="XDV32" s="41"/>
      <c r="XEG32" s="41"/>
      <c r="XER32" s="41"/>
      <c r="XFC32" s="41"/>
    </row>
    <row r="33" spans="4:1016 1027:2039 2050:3062 3073:4096 4107:5119 5130:6142 6153:7165 7176:8188 8199:9211 9222:10234 10245:11257 11268:12280 12291:13303 13314:14326 14337:15360 15371:16383" s="40" customFormat="1" ht="15" customHeight="1">
      <c r="F33" s="41"/>
      <c r="G33" s="183">
        <f t="shared" ref="G33:L33" si="0">IFERROR(Homeflex_Total_Energy*G40,"")</f>
        <v>0</v>
      </c>
      <c r="H33" s="183">
        <f t="shared" si="0"/>
        <v>0</v>
      </c>
      <c r="I33" s="183">
        <f t="shared" si="0"/>
        <v>0</v>
      </c>
      <c r="J33" s="184">
        <f t="shared" si="0"/>
        <v>0</v>
      </c>
      <c r="K33" s="184">
        <f t="shared" si="0"/>
        <v>0</v>
      </c>
      <c r="L33" s="184">
        <f t="shared" si="0"/>
        <v>0</v>
      </c>
      <c r="M33" s="175"/>
      <c r="N33" s="174"/>
      <c r="O33" s="173"/>
      <c r="P33" s="221"/>
      <c r="Q33" s="221"/>
      <c r="R33" s="221"/>
      <c r="S33" s="221"/>
      <c r="T33" s="221"/>
      <c r="U33" s="204"/>
      <c r="V33" s="204"/>
      <c r="W33" s="204"/>
      <c r="X33" s="204"/>
      <c r="Y33" s="204"/>
      <c r="Z33" s="204"/>
      <c r="AA33" t="s">
        <v>301</v>
      </c>
      <c r="AK33" s="41"/>
      <c r="AV33" s="41"/>
      <c r="BG33" s="41"/>
      <c r="BR33" s="41"/>
      <c r="CC33" s="41"/>
      <c r="CN33" s="41"/>
      <c r="CY33" s="41"/>
      <c r="DJ33" s="41"/>
      <c r="DU33" s="41"/>
      <c r="EF33" s="41"/>
      <c r="EQ33" s="41"/>
      <c r="FB33" s="41"/>
      <c r="FM33" s="41"/>
      <c r="FX33" s="41"/>
      <c r="GI33" s="41"/>
      <c r="GT33" s="41"/>
      <c r="HE33" s="41"/>
      <c r="HP33" s="41"/>
      <c r="IA33" s="41"/>
      <c r="IL33" s="41"/>
      <c r="IW33" s="41"/>
      <c r="JH33" s="41"/>
      <c r="JS33" s="41"/>
      <c r="KD33" s="41"/>
      <c r="KO33" s="41"/>
      <c r="KZ33" s="41"/>
      <c r="LK33" s="41"/>
      <c r="LV33" s="41"/>
      <c r="MG33" s="41"/>
      <c r="MR33" s="41"/>
      <c r="NC33" s="41"/>
      <c r="NN33" s="41"/>
      <c r="NY33" s="41"/>
      <c r="OJ33" s="41"/>
      <c r="OU33" s="41"/>
      <c r="PF33" s="41"/>
      <c r="PQ33" s="41"/>
      <c r="QB33" s="41"/>
      <c r="QM33" s="41"/>
      <c r="QX33" s="41"/>
      <c r="RI33" s="41"/>
      <c r="RT33" s="41"/>
      <c r="SE33" s="41"/>
      <c r="SP33" s="41"/>
      <c r="TA33" s="41"/>
      <c r="TL33" s="41"/>
      <c r="TW33" s="41"/>
      <c r="UH33" s="41"/>
      <c r="US33" s="41"/>
      <c r="VD33" s="41"/>
      <c r="VO33" s="41"/>
      <c r="VZ33" s="41"/>
      <c r="WK33" s="41"/>
      <c r="WV33" s="41"/>
      <c r="XG33" s="41"/>
      <c r="XR33" s="41"/>
      <c r="YC33" s="41"/>
      <c r="YN33" s="41"/>
      <c r="YY33" s="41"/>
      <c r="ZJ33" s="41"/>
      <c r="ZU33" s="41"/>
      <c r="AAF33" s="41"/>
      <c r="AAQ33" s="41"/>
      <c r="ABB33" s="41"/>
      <c r="ABM33" s="41"/>
      <c r="ABX33" s="41"/>
      <c r="ACI33" s="41"/>
      <c r="ACT33" s="41"/>
      <c r="ADE33" s="41"/>
      <c r="ADP33" s="41"/>
      <c r="AEA33" s="41"/>
      <c r="AEL33" s="41"/>
      <c r="AEW33" s="41"/>
      <c r="AFH33" s="41"/>
      <c r="AFS33" s="41"/>
      <c r="AGD33" s="41"/>
      <c r="AGO33" s="41"/>
      <c r="AGZ33" s="41"/>
      <c r="AHK33" s="41"/>
      <c r="AHV33" s="41"/>
      <c r="AIG33" s="41"/>
      <c r="AIR33" s="41"/>
      <c r="AJC33" s="41"/>
      <c r="AJN33" s="41"/>
      <c r="AJY33" s="41"/>
      <c r="AKJ33" s="41"/>
      <c r="AKU33" s="41"/>
      <c r="ALF33" s="41"/>
      <c r="ALQ33" s="41"/>
      <c r="AMB33" s="41"/>
      <c r="AMM33" s="41"/>
      <c r="AMX33" s="41"/>
      <c r="ANI33" s="41"/>
      <c r="ANT33" s="41"/>
      <c r="AOE33" s="41"/>
      <c r="AOP33" s="41"/>
      <c r="APA33" s="41"/>
      <c r="APL33" s="41"/>
      <c r="APW33" s="41"/>
      <c r="AQH33" s="41"/>
      <c r="AQS33" s="41"/>
      <c r="ARD33" s="41"/>
      <c r="ARO33" s="41"/>
      <c r="ARZ33" s="41"/>
      <c r="ASK33" s="41"/>
      <c r="ASV33" s="41"/>
      <c r="ATG33" s="41"/>
      <c r="ATR33" s="41"/>
      <c r="AUC33" s="41"/>
      <c r="AUN33" s="41"/>
      <c r="AUY33" s="41"/>
      <c r="AVJ33" s="41"/>
      <c r="AVU33" s="41"/>
      <c r="AWF33" s="41"/>
      <c r="AWQ33" s="41"/>
      <c r="AXB33" s="41"/>
      <c r="AXM33" s="41"/>
      <c r="AXX33" s="41"/>
      <c r="AYI33" s="41"/>
      <c r="AYT33" s="41"/>
      <c r="AZE33" s="41"/>
      <c r="AZP33" s="41"/>
      <c r="BAA33" s="41"/>
      <c r="BAL33" s="41"/>
      <c r="BAW33" s="41"/>
      <c r="BBH33" s="41"/>
      <c r="BBS33" s="41"/>
      <c r="BCD33" s="41"/>
      <c r="BCO33" s="41"/>
      <c r="BCZ33" s="41"/>
      <c r="BDK33" s="41"/>
      <c r="BDV33" s="41"/>
      <c r="BEG33" s="41"/>
      <c r="BER33" s="41"/>
      <c r="BFC33" s="41"/>
      <c r="BFN33" s="41"/>
      <c r="BFY33" s="41"/>
      <c r="BGJ33" s="41"/>
      <c r="BGU33" s="41"/>
      <c r="BHF33" s="41"/>
      <c r="BHQ33" s="41"/>
      <c r="BIB33" s="41"/>
      <c r="BIM33" s="41"/>
      <c r="BIX33" s="41"/>
      <c r="BJI33" s="41"/>
      <c r="BJT33" s="41"/>
      <c r="BKE33" s="41"/>
      <c r="BKP33" s="41"/>
      <c r="BLA33" s="41"/>
      <c r="BLL33" s="41"/>
      <c r="BLW33" s="41"/>
      <c r="BMH33" s="41"/>
      <c r="BMS33" s="41"/>
      <c r="BND33" s="41"/>
      <c r="BNO33" s="41"/>
      <c r="BNZ33" s="41"/>
      <c r="BOK33" s="41"/>
      <c r="BOV33" s="41"/>
      <c r="BPG33" s="41"/>
      <c r="BPR33" s="41"/>
      <c r="BQC33" s="41"/>
      <c r="BQN33" s="41"/>
      <c r="BQY33" s="41"/>
      <c r="BRJ33" s="41"/>
      <c r="BRU33" s="41"/>
      <c r="BSF33" s="41"/>
      <c r="BSQ33" s="41"/>
      <c r="BTB33" s="41"/>
      <c r="BTM33" s="41"/>
      <c r="BTX33" s="41"/>
      <c r="BUI33" s="41"/>
      <c r="BUT33" s="41"/>
      <c r="BVE33" s="41"/>
      <c r="BVP33" s="41"/>
      <c r="BWA33" s="41"/>
      <c r="BWL33" s="41"/>
      <c r="BWW33" s="41"/>
      <c r="BXH33" s="41"/>
      <c r="BXS33" s="41"/>
      <c r="BYD33" s="41"/>
      <c r="BYO33" s="41"/>
      <c r="BYZ33" s="41"/>
      <c r="BZK33" s="41"/>
      <c r="BZV33" s="41"/>
      <c r="CAG33" s="41"/>
      <c r="CAR33" s="41"/>
      <c r="CBC33" s="41"/>
      <c r="CBN33" s="41"/>
      <c r="CBY33" s="41"/>
      <c r="CCJ33" s="41"/>
      <c r="CCU33" s="41"/>
      <c r="CDF33" s="41"/>
      <c r="CDQ33" s="41"/>
      <c r="CEB33" s="41"/>
      <c r="CEM33" s="41"/>
      <c r="CEX33" s="41"/>
      <c r="CFI33" s="41"/>
      <c r="CFT33" s="41"/>
      <c r="CGE33" s="41"/>
      <c r="CGP33" s="41"/>
      <c r="CHA33" s="41"/>
      <c r="CHL33" s="41"/>
      <c r="CHW33" s="41"/>
      <c r="CIH33" s="41"/>
      <c r="CIS33" s="41"/>
      <c r="CJD33" s="41"/>
      <c r="CJO33" s="41"/>
      <c r="CJZ33" s="41"/>
      <c r="CKK33" s="41"/>
      <c r="CKV33" s="41"/>
      <c r="CLG33" s="41"/>
      <c r="CLR33" s="41"/>
      <c r="CMC33" s="41"/>
      <c r="CMN33" s="41"/>
      <c r="CMY33" s="41"/>
      <c r="CNJ33" s="41"/>
      <c r="CNU33" s="41"/>
      <c r="COF33" s="41"/>
      <c r="COQ33" s="41"/>
      <c r="CPB33" s="41"/>
      <c r="CPM33" s="41"/>
      <c r="CPX33" s="41"/>
      <c r="CQI33" s="41"/>
      <c r="CQT33" s="41"/>
      <c r="CRE33" s="41"/>
      <c r="CRP33" s="41"/>
      <c r="CSA33" s="41"/>
      <c r="CSL33" s="41"/>
      <c r="CSW33" s="41"/>
      <c r="CTH33" s="41"/>
      <c r="CTS33" s="41"/>
      <c r="CUD33" s="41"/>
      <c r="CUO33" s="41"/>
      <c r="CUZ33" s="41"/>
      <c r="CVK33" s="41"/>
      <c r="CVV33" s="41"/>
      <c r="CWG33" s="41"/>
      <c r="CWR33" s="41"/>
      <c r="CXC33" s="41"/>
      <c r="CXN33" s="41"/>
      <c r="CXY33" s="41"/>
      <c r="CYJ33" s="41"/>
      <c r="CYU33" s="41"/>
      <c r="CZF33" s="41"/>
      <c r="CZQ33" s="41"/>
      <c r="DAB33" s="41"/>
      <c r="DAM33" s="41"/>
      <c r="DAX33" s="41"/>
      <c r="DBI33" s="41"/>
      <c r="DBT33" s="41"/>
      <c r="DCE33" s="41"/>
      <c r="DCP33" s="41"/>
      <c r="DDA33" s="41"/>
      <c r="DDL33" s="41"/>
      <c r="DDW33" s="41"/>
      <c r="DEH33" s="41"/>
      <c r="DES33" s="41"/>
      <c r="DFD33" s="41"/>
      <c r="DFO33" s="41"/>
      <c r="DFZ33" s="41"/>
      <c r="DGK33" s="41"/>
      <c r="DGV33" s="41"/>
      <c r="DHG33" s="41"/>
      <c r="DHR33" s="41"/>
      <c r="DIC33" s="41"/>
      <c r="DIN33" s="41"/>
      <c r="DIY33" s="41"/>
      <c r="DJJ33" s="41"/>
      <c r="DJU33" s="41"/>
      <c r="DKF33" s="41"/>
      <c r="DKQ33" s="41"/>
      <c r="DLB33" s="41"/>
      <c r="DLM33" s="41"/>
      <c r="DLX33" s="41"/>
      <c r="DMI33" s="41"/>
      <c r="DMT33" s="41"/>
      <c r="DNE33" s="41"/>
      <c r="DNP33" s="41"/>
      <c r="DOA33" s="41"/>
      <c r="DOL33" s="41"/>
      <c r="DOW33" s="41"/>
      <c r="DPH33" s="41"/>
      <c r="DPS33" s="41"/>
      <c r="DQD33" s="41"/>
      <c r="DQO33" s="41"/>
      <c r="DQZ33" s="41"/>
      <c r="DRK33" s="41"/>
      <c r="DRV33" s="41"/>
      <c r="DSG33" s="41"/>
      <c r="DSR33" s="41"/>
      <c r="DTC33" s="41"/>
      <c r="DTN33" s="41"/>
      <c r="DTY33" s="41"/>
      <c r="DUJ33" s="41"/>
      <c r="DUU33" s="41"/>
      <c r="DVF33" s="41"/>
      <c r="DVQ33" s="41"/>
      <c r="DWB33" s="41"/>
      <c r="DWM33" s="41"/>
      <c r="DWX33" s="41"/>
      <c r="DXI33" s="41"/>
      <c r="DXT33" s="41"/>
      <c r="DYE33" s="41"/>
      <c r="DYP33" s="41"/>
      <c r="DZA33" s="41"/>
      <c r="DZL33" s="41"/>
      <c r="DZW33" s="41"/>
      <c r="EAH33" s="41"/>
      <c r="EAS33" s="41"/>
      <c r="EBD33" s="41"/>
      <c r="EBO33" s="41"/>
      <c r="EBZ33" s="41"/>
      <c r="ECK33" s="41"/>
      <c r="ECV33" s="41"/>
      <c r="EDG33" s="41"/>
      <c r="EDR33" s="41"/>
      <c r="EEC33" s="41"/>
      <c r="EEN33" s="41"/>
      <c r="EEY33" s="41"/>
      <c r="EFJ33" s="41"/>
      <c r="EFU33" s="41"/>
      <c r="EGF33" s="41"/>
      <c r="EGQ33" s="41"/>
      <c r="EHB33" s="41"/>
      <c r="EHM33" s="41"/>
      <c r="EHX33" s="41"/>
      <c r="EII33" s="41"/>
      <c r="EIT33" s="41"/>
      <c r="EJE33" s="41"/>
      <c r="EJP33" s="41"/>
      <c r="EKA33" s="41"/>
      <c r="EKL33" s="41"/>
      <c r="EKW33" s="41"/>
      <c r="ELH33" s="41"/>
      <c r="ELS33" s="41"/>
      <c r="EMD33" s="41"/>
      <c r="EMO33" s="41"/>
      <c r="EMZ33" s="41"/>
      <c r="ENK33" s="41"/>
      <c r="ENV33" s="41"/>
      <c r="EOG33" s="41"/>
      <c r="EOR33" s="41"/>
      <c r="EPC33" s="41"/>
      <c r="EPN33" s="41"/>
      <c r="EPY33" s="41"/>
      <c r="EQJ33" s="41"/>
      <c r="EQU33" s="41"/>
      <c r="ERF33" s="41"/>
      <c r="ERQ33" s="41"/>
      <c r="ESB33" s="41"/>
      <c r="ESM33" s="41"/>
      <c r="ESX33" s="41"/>
      <c r="ETI33" s="41"/>
      <c r="ETT33" s="41"/>
      <c r="EUE33" s="41"/>
      <c r="EUP33" s="41"/>
      <c r="EVA33" s="41"/>
      <c r="EVL33" s="41"/>
      <c r="EVW33" s="41"/>
      <c r="EWH33" s="41"/>
      <c r="EWS33" s="41"/>
      <c r="EXD33" s="41"/>
      <c r="EXO33" s="41"/>
      <c r="EXZ33" s="41"/>
      <c r="EYK33" s="41"/>
      <c r="EYV33" s="41"/>
      <c r="EZG33" s="41"/>
      <c r="EZR33" s="41"/>
      <c r="FAC33" s="41"/>
      <c r="FAN33" s="41"/>
      <c r="FAY33" s="41"/>
      <c r="FBJ33" s="41"/>
      <c r="FBU33" s="41"/>
      <c r="FCF33" s="41"/>
      <c r="FCQ33" s="41"/>
      <c r="FDB33" s="41"/>
      <c r="FDM33" s="41"/>
      <c r="FDX33" s="41"/>
      <c r="FEI33" s="41"/>
      <c r="FET33" s="41"/>
      <c r="FFE33" s="41"/>
      <c r="FFP33" s="41"/>
      <c r="FGA33" s="41"/>
      <c r="FGL33" s="41"/>
      <c r="FGW33" s="41"/>
      <c r="FHH33" s="41"/>
      <c r="FHS33" s="41"/>
      <c r="FID33" s="41"/>
      <c r="FIO33" s="41"/>
      <c r="FIZ33" s="41"/>
      <c r="FJK33" s="41"/>
      <c r="FJV33" s="41"/>
      <c r="FKG33" s="41"/>
      <c r="FKR33" s="41"/>
      <c r="FLC33" s="41"/>
      <c r="FLN33" s="41"/>
      <c r="FLY33" s="41"/>
      <c r="FMJ33" s="41"/>
      <c r="FMU33" s="41"/>
      <c r="FNF33" s="41"/>
      <c r="FNQ33" s="41"/>
      <c r="FOB33" s="41"/>
      <c r="FOM33" s="41"/>
      <c r="FOX33" s="41"/>
      <c r="FPI33" s="41"/>
      <c r="FPT33" s="41"/>
      <c r="FQE33" s="41"/>
      <c r="FQP33" s="41"/>
      <c r="FRA33" s="41"/>
      <c r="FRL33" s="41"/>
      <c r="FRW33" s="41"/>
      <c r="FSH33" s="41"/>
      <c r="FSS33" s="41"/>
      <c r="FTD33" s="41"/>
      <c r="FTO33" s="41"/>
      <c r="FTZ33" s="41"/>
      <c r="FUK33" s="41"/>
      <c r="FUV33" s="41"/>
      <c r="FVG33" s="41"/>
      <c r="FVR33" s="41"/>
      <c r="FWC33" s="41"/>
      <c r="FWN33" s="41"/>
      <c r="FWY33" s="41"/>
      <c r="FXJ33" s="41"/>
      <c r="FXU33" s="41"/>
      <c r="FYF33" s="41"/>
      <c r="FYQ33" s="41"/>
      <c r="FZB33" s="41"/>
      <c r="FZM33" s="41"/>
      <c r="FZX33" s="41"/>
      <c r="GAI33" s="41"/>
      <c r="GAT33" s="41"/>
      <c r="GBE33" s="41"/>
      <c r="GBP33" s="41"/>
      <c r="GCA33" s="41"/>
      <c r="GCL33" s="41"/>
      <c r="GCW33" s="41"/>
      <c r="GDH33" s="41"/>
      <c r="GDS33" s="41"/>
      <c r="GED33" s="41"/>
      <c r="GEO33" s="41"/>
      <c r="GEZ33" s="41"/>
      <c r="GFK33" s="41"/>
      <c r="GFV33" s="41"/>
      <c r="GGG33" s="41"/>
      <c r="GGR33" s="41"/>
      <c r="GHC33" s="41"/>
      <c r="GHN33" s="41"/>
      <c r="GHY33" s="41"/>
      <c r="GIJ33" s="41"/>
      <c r="GIU33" s="41"/>
      <c r="GJF33" s="41"/>
      <c r="GJQ33" s="41"/>
      <c r="GKB33" s="41"/>
      <c r="GKM33" s="41"/>
      <c r="GKX33" s="41"/>
      <c r="GLI33" s="41"/>
      <c r="GLT33" s="41"/>
      <c r="GME33" s="41"/>
      <c r="GMP33" s="41"/>
      <c r="GNA33" s="41"/>
      <c r="GNL33" s="41"/>
      <c r="GNW33" s="41"/>
      <c r="GOH33" s="41"/>
      <c r="GOS33" s="41"/>
      <c r="GPD33" s="41"/>
      <c r="GPO33" s="41"/>
      <c r="GPZ33" s="41"/>
      <c r="GQK33" s="41"/>
      <c r="GQV33" s="41"/>
      <c r="GRG33" s="41"/>
      <c r="GRR33" s="41"/>
      <c r="GSC33" s="41"/>
      <c r="GSN33" s="41"/>
      <c r="GSY33" s="41"/>
      <c r="GTJ33" s="41"/>
      <c r="GTU33" s="41"/>
      <c r="GUF33" s="41"/>
      <c r="GUQ33" s="41"/>
      <c r="GVB33" s="41"/>
      <c r="GVM33" s="41"/>
      <c r="GVX33" s="41"/>
      <c r="GWI33" s="41"/>
      <c r="GWT33" s="41"/>
      <c r="GXE33" s="41"/>
      <c r="GXP33" s="41"/>
      <c r="GYA33" s="41"/>
      <c r="GYL33" s="41"/>
      <c r="GYW33" s="41"/>
      <c r="GZH33" s="41"/>
      <c r="GZS33" s="41"/>
      <c r="HAD33" s="41"/>
      <c r="HAO33" s="41"/>
      <c r="HAZ33" s="41"/>
      <c r="HBK33" s="41"/>
      <c r="HBV33" s="41"/>
      <c r="HCG33" s="41"/>
      <c r="HCR33" s="41"/>
      <c r="HDC33" s="41"/>
      <c r="HDN33" s="41"/>
      <c r="HDY33" s="41"/>
      <c r="HEJ33" s="41"/>
      <c r="HEU33" s="41"/>
      <c r="HFF33" s="41"/>
      <c r="HFQ33" s="41"/>
      <c r="HGB33" s="41"/>
      <c r="HGM33" s="41"/>
      <c r="HGX33" s="41"/>
      <c r="HHI33" s="41"/>
      <c r="HHT33" s="41"/>
      <c r="HIE33" s="41"/>
      <c r="HIP33" s="41"/>
      <c r="HJA33" s="41"/>
      <c r="HJL33" s="41"/>
      <c r="HJW33" s="41"/>
      <c r="HKH33" s="41"/>
      <c r="HKS33" s="41"/>
      <c r="HLD33" s="41"/>
      <c r="HLO33" s="41"/>
      <c r="HLZ33" s="41"/>
      <c r="HMK33" s="41"/>
      <c r="HMV33" s="41"/>
      <c r="HNG33" s="41"/>
      <c r="HNR33" s="41"/>
      <c r="HOC33" s="41"/>
      <c r="HON33" s="41"/>
      <c r="HOY33" s="41"/>
      <c r="HPJ33" s="41"/>
      <c r="HPU33" s="41"/>
      <c r="HQF33" s="41"/>
      <c r="HQQ33" s="41"/>
      <c r="HRB33" s="41"/>
      <c r="HRM33" s="41"/>
      <c r="HRX33" s="41"/>
      <c r="HSI33" s="41"/>
      <c r="HST33" s="41"/>
      <c r="HTE33" s="41"/>
      <c r="HTP33" s="41"/>
      <c r="HUA33" s="41"/>
      <c r="HUL33" s="41"/>
      <c r="HUW33" s="41"/>
      <c r="HVH33" s="41"/>
      <c r="HVS33" s="41"/>
      <c r="HWD33" s="41"/>
      <c r="HWO33" s="41"/>
      <c r="HWZ33" s="41"/>
      <c r="HXK33" s="41"/>
      <c r="HXV33" s="41"/>
      <c r="HYG33" s="41"/>
      <c r="HYR33" s="41"/>
      <c r="HZC33" s="41"/>
      <c r="HZN33" s="41"/>
      <c r="HZY33" s="41"/>
      <c r="IAJ33" s="41"/>
      <c r="IAU33" s="41"/>
      <c r="IBF33" s="41"/>
      <c r="IBQ33" s="41"/>
      <c r="ICB33" s="41"/>
      <c r="ICM33" s="41"/>
      <c r="ICX33" s="41"/>
      <c r="IDI33" s="41"/>
      <c r="IDT33" s="41"/>
      <c r="IEE33" s="41"/>
      <c r="IEP33" s="41"/>
      <c r="IFA33" s="41"/>
      <c r="IFL33" s="41"/>
      <c r="IFW33" s="41"/>
      <c r="IGH33" s="41"/>
      <c r="IGS33" s="41"/>
      <c r="IHD33" s="41"/>
      <c r="IHO33" s="41"/>
      <c r="IHZ33" s="41"/>
      <c r="IIK33" s="41"/>
      <c r="IIV33" s="41"/>
      <c r="IJG33" s="41"/>
      <c r="IJR33" s="41"/>
      <c r="IKC33" s="41"/>
      <c r="IKN33" s="41"/>
      <c r="IKY33" s="41"/>
      <c r="ILJ33" s="41"/>
      <c r="ILU33" s="41"/>
      <c r="IMF33" s="41"/>
      <c r="IMQ33" s="41"/>
      <c r="INB33" s="41"/>
      <c r="INM33" s="41"/>
      <c r="INX33" s="41"/>
      <c r="IOI33" s="41"/>
      <c r="IOT33" s="41"/>
      <c r="IPE33" s="41"/>
      <c r="IPP33" s="41"/>
      <c r="IQA33" s="41"/>
      <c r="IQL33" s="41"/>
      <c r="IQW33" s="41"/>
      <c r="IRH33" s="41"/>
      <c r="IRS33" s="41"/>
      <c r="ISD33" s="41"/>
      <c r="ISO33" s="41"/>
      <c r="ISZ33" s="41"/>
      <c r="ITK33" s="41"/>
      <c r="ITV33" s="41"/>
      <c r="IUG33" s="41"/>
      <c r="IUR33" s="41"/>
      <c r="IVC33" s="41"/>
      <c r="IVN33" s="41"/>
      <c r="IVY33" s="41"/>
      <c r="IWJ33" s="41"/>
      <c r="IWU33" s="41"/>
      <c r="IXF33" s="41"/>
      <c r="IXQ33" s="41"/>
      <c r="IYB33" s="41"/>
      <c r="IYM33" s="41"/>
      <c r="IYX33" s="41"/>
      <c r="IZI33" s="41"/>
      <c r="IZT33" s="41"/>
      <c r="JAE33" s="41"/>
      <c r="JAP33" s="41"/>
      <c r="JBA33" s="41"/>
      <c r="JBL33" s="41"/>
      <c r="JBW33" s="41"/>
      <c r="JCH33" s="41"/>
      <c r="JCS33" s="41"/>
      <c r="JDD33" s="41"/>
      <c r="JDO33" s="41"/>
      <c r="JDZ33" s="41"/>
      <c r="JEK33" s="41"/>
      <c r="JEV33" s="41"/>
      <c r="JFG33" s="41"/>
      <c r="JFR33" s="41"/>
      <c r="JGC33" s="41"/>
      <c r="JGN33" s="41"/>
      <c r="JGY33" s="41"/>
      <c r="JHJ33" s="41"/>
      <c r="JHU33" s="41"/>
      <c r="JIF33" s="41"/>
      <c r="JIQ33" s="41"/>
      <c r="JJB33" s="41"/>
      <c r="JJM33" s="41"/>
      <c r="JJX33" s="41"/>
      <c r="JKI33" s="41"/>
      <c r="JKT33" s="41"/>
      <c r="JLE33" s="41"/>
      <c r="JLP33" s="41"/>
      <c r="JMA33" s="41"/>
      <c r="JML33" s="41"/>
      <c r="JMW33" s="41"/>
      <c r="JNH33" s="41"/>
      <c r="JNS33" s="41"/>
      <c r="JOD33" s="41"/>
      <c r="JOO33" s="41"/>
      <c r="JOZ33" s="41"/>
      <c r="JPK33" s="41"/>
      <c r="JPV33" s="41"/>
      <c r="JQG33" s="41"/>
      <c r="JQR33" s="41"/>
      <c r="JRC33" s="41"/>
      <c r="JRN33" s="41"/>
      <c r="JRY33" s="41"/>
      <c r="JSJ33" s="41"/>
      <c r="JSU33" s="41"/>
      <c r="JTF33" s="41"/>
      <c r="JTQ33" s="41"/>
      <c r="JUB33" s="41"/>
      <c r="JUM33" s="41"/>
      <c r="JUX33" s="41"/>
      <c r="JVI33" s="41"/>
      <c r="JVT33" s="41"/>
      <c r="JWE33" s="41"/>
      <c r="JWP33" s="41"/>
      <c r="JXA33" s="41"/>
      <c r="JXL33" s="41"/>
      <c r="JXW33" s="41"/>
      <c r="JYH33" s="41"/>
      <c r="JYS33" s="41"/>
      <c r="JZD33" s="41"/>
      <c r="JZO33" s="41"/>
      <c r="JZZ33" s="41"/>
      <c r="KAK33" s="41"/>
      <c r="KAV33" s="41"/>
      <c r="KBG33" s="41"/>
      <c r="KBR33" s="41"/>
      <c r="KCC33" s="41"/>
      <c r="KCN33" s="41"/>
      <c r="KCY33" s="41"/>
      <c r="KDJ33" s="41"/>
      <c r="KDU33" s="41"/>
      <c r="KEF33" s="41"/>
      <c r="KEQ33" s="41"/>
      <c r="KFB33" s="41"/>
      <c r="KFM33" s="41"/>
      <c r="KFX33" s="41"/>
      <c r="KGI33" s="41"/>
      <c r="KGT33" s="41"/>
      <c r="KHE33" s="41"/>
      <c r="KHP33" s="41"/>
      <c r="KIA33" s="41"/>
      <c r="KIL33" s="41"/>
      <c r="KIW33" s="41"/>
      <c r="KJH33" s="41"/>
      <c r="KJS33" s="41"/>
      <c r="KKD33" s="41"/>
      <c r="KKO33" s="41"/>
      <c r="KKZ33" s="41"/>
      <c r="KLK33" s="41"/>
      <c r="KLV33" s="41"/>
      <c r="KMG33" s="41"/>
      <c r="KMR33" s="41"/>
      <c r="KNC33" s="41"/>
      <c r="KNN33" s="41"/>
      <c r="KNY33" s="41"/>
      <c r="KOJ33" s="41"/>
      <c r="KOU33" s="41"/>
      <c r="KPF33" s="41"/>
      <c r="KPQ33" s="41"/>
      <c r="KQB33" s="41"/>
      <c r="KQM33" s="41"/>
      <c r="KQX33" s="41"/>
      <c r="KRI33" s="41"/>
      <c r="KRT33" s="41"/>
      <c r="KSE33" s="41"/>
      <c r="KSP33" s="41"/>
      <c r="KTA33" s="41"/>
      <c r="KTL33" s="41"/>
      <c r="KTW33" s="41"/>
      <c r="KUH33" s="41"/>
      <c r="KUS33" s="41"/>
      <c r="KVD33" s="41"/>
      <c r="KVO33" s="41"/>
      <c r="KVZ33" s="41"/>
      <c r="KWK33" s="41"/>
      <c r="KWV33" s="41"/>
      <c r="KXG33" s="41"/>
      <c r="KXR33" s="41"/>
      <c r="KYC33" s="41"/>
      <c r="KYN33" s="41"/>
      <c r="KYY33" s="41"/>
      <c r="KZJ33" s="41"/>
      <c r="KZU33" s="41"/>
      <c r="LAF33" s="41"/>
      <c r="LAQ33" s="41"/>
      <c r="LBB33" s="41"/>
      <c r="LBM33" s="41"/>
      <c r="LBX33" s="41"/>
      <c r="LCI33" s="41"/>
      <c r="LCT33" s="41"/>
      <c r="LDE33" s="41"/>
      <c r="LDP33" s="41"/>
      <c r="LEA33" s="41"/>
      <c r="LEL33" s="41"/>
      <c r="LEW33" s="41"/>
      <c r="LFH33" s="41"/>
      <c r="LFS33" s="41"/>
      <c r="LGD33" s="41"/>
      <c r="LGO33" s="41"/>
      <c r="LGZ33" s="41"/>
      <c r="LHK33" s="41"/>
      <c r="LHV33" s="41"/>
      <c r="LIG33" s="41"/>
      <c r="LIR33" s="41"/>
      <c r="LJC33" s="41"/>
      <c r="LJN33" s="41"/>
      <c r="LJY33" s="41"/>
      <c r="LKJ33" s="41"/>
      <c r="LKU33" s="41"/>
      <c r="LLF33" s="41"/>
      <c r="LLQ33" s="41"/>
      <c r="LMB33" s="41"/>
      <c r="LMM33" s="41"/>
      <c r="LMX33" s="41"/>
      <c r="LNI33" s="41"/>
      <c r="LNT33" s="41"/>
      <c r="LOE33" s="41"/>
      <c r="LOP33" s="41"/>
      <c r="LPA33" s="41"/>
      <c r="LPL33" s="41"/>
      <c r="LPW33" s="41"/>
      <c r="LQH33" s="41"/>
      <c r="LQS33" s="41"/>
      <c r="LRD33" s="41"/>
      <c r="LRO33" s="41"/>
      <c r="LRZ33" s="41"/>
      <c r="LSK33" s="41"/>
      <c r="LSV33" s="41"/>
      <c r="LTG33" s="41"/>
      <c r="LTR33" s="41"/>
      <c r="LUC33" s="41"/>
      <c r="LUN33" s="41"/>
      <c r="LUY33" s="41"/>
      <c r="LVJ33" s="41"/>
      <c r="LVU33" s="41"/>
      <c r="LWF33" s="41"/>
      <c r="LWQ33" s="41"/>
      <c r="LXB33" s="41"/>
      <c r="LXM33" s="41"/>
      <c r="LXX33" s="41"/>
      <c r="LYI33" s="41"/>
      <c r="LYT33" s="41"/>
      <c r="LZE33" s="41"/>
      <c r="LZP33" s="41"/>
      <c r="MAA33" s="41"/>
      <c r="MAL33" s="41"/>
      <c r="MAW33" s="41"/>
      <c r="MBH33" s="41"/>
      <c r="MBS33" s="41"/>
      <c r="MCD33" s="41"/>
      <c r="MCO33" s="41"/>
      <c r="MCZ33" s="41"/>
      <c r="MDK33" s="41"/>
      <c r="MDV33" s="41"/>
      <c r="MEG33" s="41"/>
      <c r="MER33" s="41"/>
      <c r="MFC33" s="41"/>
      <c r="MFN33" s="41"/>
      <c r="MFY33" s="41"/>
      <c r="MGJ33" s="41"/>
      <c r="MGU33" s="41"/>
      <c r="MHF33" s="41"/>
      <c r="MHQ33" s="41"/>
      <c r="MIB33" s="41"/>
      <c r="MIM33" s="41"/>
      <c r="MIX33" s="41"/>
      <c r="MJI33" s="41"/>
      <c r="MJT33" s="41"/>
      <c r="MKE33" s="41"/>
      <c r="MKP33" s="41"/>
      <c r="MLA33" s="41"/>
      <c r="MLL33" s="41"/>
      <c r="MLW33" s="41"/>
      <c r="MMH33" s="41"/>
      <c r="MMS33" s="41"/>
      <c r="MND33" s="41"/>
      <c r="MNO33" s="41"/>
      <c r="MNZ33" s="41"/>
      <c r="MOK33" s="41"/>
      <c r="MOV33" s="41"/>
      <c r="MPG33" s="41"/>
      <c r="MPR33" s="41"/>
      <c r="MQC33" s="41"/>
      <c r="MQN33" s="41"/>
      <c r="MQY33" s="41"/>
      <c r="MRJ33" s="41"/>
      <c r="MRU33" s="41"/>
      <c r="MSF33" s="41"/>
      <c r="MSQ33" s="41"/>
      <c r="MTB33" s="41"/>
      <c r="MTM33" s="41"/>
      <c r="MTX33" s="41"/>
      <c r="MUI33" s="41"/>
      <c r="MUT33" s="41"/>
      <c r="MVE33" s="41"/>
      <c r="MVP33" s="41"/>
      <c r="MWA33" s="41"/>
      <c r="MWL33" s="41"/>
      <c r="MWW33" s="41"/>
      <c r="MXH33" s="41"/>
      <c r="MXS33" s="41"/>
      <c r="MYD33" s="41"/>
      <c r="MYO33" s="41"/>
      <c r="MYZ33" s="41"/>
      <c r="MZK33" s="41"/>
      <c r="MZV33" s="41"/>
      <c r="NAG33" s="41"/>
      <c r="NAR33" s="41"/>
      <c r="NBC33" s="41"/>
      <c r="NBN33" s="41"/>
      <c r="NBY33" s="41"/>
      <c r="NCJ33" s="41"/>
      <c r="NCU33" s="41"/>
      <c r="NDF33" s="41"/>
      <c r="NDQ33" s="41"/>
      <c r="NEB33" s="41"/>
      <c r="NEM33" s="41"/>
      <c r="NEX33" s="41"/>
      <c r="NFI33" s="41"/>
      <c r="NFT33" s="41"/>
      <c r="NGE33" s="41"/>
      <c r="NGP33" s="41"/>
      <c r="NHA33" s="41"/>
      <c r="NHL33" s="41"/>
      <c r="NHW33" s="41"/>
      <c r="NIH33" s="41"/>
      <c r="NIS33" s="41"/>
      <c r="NJD33" s="41"/>
      <c r="NJO33" s="41"/>
      <c r="NJZ33" s="41"/>
      <c r="NKK33" s="41"/>
      <c r="NKV33" s="41"/>
      <c r="NLG33" s="41"/>
      <c r="NLR33" s="41"/>
      <c r="NMC33" s="41"/>
      <c r="NMN33" s="41"/>
      <c r="NMY33" s="41"/>
      <c r="NNJ33" s="41"/>
      <c r="NNU33" s="41"/>
      <c r="NOF33" s="41"/>
      <c r="NOQ33" s="41"/>
      <c r="NPB33" s="41"/>
      <c r="NPM33" s="41"/>
      <c r="NPX33" s="41"/>
      <c r="NQI33" s="41"/>
      <c r="NQT33" s="41"/>
      <c r="NRE33" s="41"/>
      <c r="NRP33" s="41"/>
      <c r="NSA33" s="41"/>
      <c r="NSL33" s="41"/>
      <c r="NSW33" s="41"/>
      <c r="NTH33" s="41"/>
      <c r="NTS33" s="41"/>
      <c r="NUD33" s="41"/>
      <c r="NUO33" s="41"/>
      <c r="NUZ33" s="41"/>
      <c r="NVK33" s="41"/>
      <c r="NVV33" s="41"/>
      <c r="NWG33" s="41"/>
      <c r="NWR33" s="41"/>
      <c r="NXC33" s="41"/>
      <c r="NXN33" s="41"/>
      <c r="NXY33" s="41"/>
      <c r="NYJ33" s="41"/>
      <c r="NYU33" s="41"/>
      <c r="NZF33" s="41"/>
      <c r="NZQ33" s="41"/>
      <c r="OAB33" s="41"/>
      <c r="OAM33" s="41"/>
      <c r="OAX33" s="41"/>
      <c r="OBI33" s="41"/>
      <c r="OBT33" s="41"/>
      <c r="OCE33" s="41"/>
      <c r="OCP33" s="41"/>
      <c r="ODA33" s="41"/>
      <c r="ODL33" s="41"/>
      <c r="ODW33" s="41"/>
      <c r="OEH33" s="41"/>
      <c r="OES33" s="41"/>
      <c r="OFD33" s="41"/>
      <c r="OFO33" s="41"/>
      <c r="OFZ33" s="41"/>
      <c r="OGK33" s="41"/>
      <c r="OGV33" s="41"/>
      <c r="OHG33" s="41"/>
      <c r="OHR33" s="41"/>
      <c r="OIC33" s="41"/>
      <c r="OIN33" s="41"/>
      <c r="OIY33" s="41"/>
      <c r="OJJ33" s="41"/>
      <c r="OJU33" s="41"/>
      <c r="OKF33" s="41"/>
      <c r="OKQ33" s="41"/>
      <c r="OLB33" s="41"/>
      <c r="OLM33" s="41"/>
      <c r="OLX33" s="41"/>
      <c r="OMI33" s="41"/>
      <c r="OMT33" s="41"/>
      <c r="ONE33" s="41"/>
      <c r="ONP33" s="41"/>
      <c r="OOA33" s="41"/>
      <c r="OOL33" s="41"/>
      <c r="OOW33" s="41"/>
      <c r="OPH33" s="41"/>
      <c r="OPS33" s="41"/>
      <c r="OQD33" s="41"/>
      <c r="OQO33" s="41"/>
      <c r="OQZ33" s="41"/>
      <c r="ORK33" s="41"/>
      <c r="ORV33" s="41"/>
      <c r="OSG33" s="41"/>
      <c r="OSR33" s="41"/>
      <c r="OTC33" s="41"/>
      <c r="OTN33" s="41"/>
      <c r="OTY33" s="41"/>
      <c r="OUJ33" s="41"/>
      <c r="OUU33" s="41"/>
      <c r="OVF33" s="41"/>
      <c r="OVQ33" s="41"/>
      <c r="OWB33" s="41"/>
      <c r="OWM33" s="41"/>
      <c r="OWX33" s="41"/>
      <c r="OXI33" s="41"/>
      <c r="OXT33" s="41"/>
      <c r="OYE33" s="41"/>
      <c r="OYP33" s="41"/>
      <c r="OZA33" s="41"/>
      <c r="OZL33" s="41"/>
      <c r="OZW33" s="41"/>
      <c r="PAH33" s="41"/>
      <c r="PAS33" s="41"/>
      <c r="PBD33" s="41"/>
      <c r="PBO33" s="41"/>
      <c r="PBZ33" s="41"/>
      <c r="PCK33" s="41"/>
      <c r="PCV33" s="41"/>
      <c r="PDG33" s="41"/>
      <c r="PDR33" s="41"/>
      <c r="PEC33" s="41"/>
      <c r="PEN33" s="41"/>
      <c r="PEY33" s="41"/>
      <c r="PFJ33" s="41"/>
      <c r="PFU33" s="41"/>
      <c r="PGF33" s="41"/>
      <c r="PGQ33" s="41"/>
      <c r="PHB33" s="41"/>
      <c r="PHM33" s="41"/>
      <c r="PHX33" s="41"/>
      <c r="PII33" s="41"/>
      <c r="PIT33" s="41"/>
      <c r="PJE33" s="41"/>
      <c r="PJP33" s="41"/>
      <c r="PKA33" s="41"/>
      <c r="PKL33" s="41"/>
      <c r="PKW33" s="41"/>
      <c r="PLH33" s="41"/>
      <c r="PLS33" s="41"/>
      <c r="PMD33" s="41"/>
      <c r="PMO33" s="41"/>
      <c r="PMZ33" s="41"/>
      <c r="PNK33" s="41"/>
      <c r="PNV33" s="41"/>
      <c r="POG33" s="41"/>
      <c r="POR33" s="41"/>
      <c r="PPC33" s="41"/>
      <c r="PPN33" s="41"/>
      <c r="PPY33" s="41"/>
      <c r="PQJ33" s="41"/>
      <c r="PQU33" s="41"/>
      <c r="PRF33" s="41"/>
      <c r="PRQ33" s="41"/>
      <c r="PSB33" s="41"/>
      <c r="PSM33" s="41"/>
      <c r="PSX33" s="41"/>
      <c r="PTI33" s="41"/>
      <c r="PTT33" s="41"/>
      <c r="PUE33" s="41"/>
      <c r="PUP33" s="41"/>
      <c r="PVA33" s="41"/>
      <c r="PVL33" s="41"/>
      <c r="PVW33" s="41"/>
      <c r="PWH33" s="41"/>
      <c r="PWS33" s="41"/>
      <c r="PXD33" s="41"/>
      <c r="PXO33" s="41"/>
      <c r="PXZ33" s="41"/>
      <c r="PYK33" s="41"/>
      <c r="PYV33" s="41"/>
      <c r="PZG33" s="41"/>
      <c r="PZR33" s="41"/>
      <c r="QAC33" s="41"/>
      <c r="QAN33" s="41"/>
      <c r="QAY33" s="41"/>
      <c r="QBJ33" s="41"/>
      <c r="QBU33" s="41"/>
      <c r="QCF33" s="41"/>
      <c r="QCQ33" s="41"/>
      <c r="QDB33" s="41"/>
      <c r="QDM33" s="41"/>
      <c r="QDX33" s="41"/>
      <c r="QEI33" s="41"/>
      <c r="QET33" s="41"/>
      <c r="QFE33" s="41"/>
      <c r="QFP33" s="41"/>
      <c r="QGA33" s="41"/>
      <c r="QGL33" s="41"/>
      <c r="QGW33" s="41"/>
      <c r="QHH33" s="41"/>
      <c r="QHS33" s="41"/>
      <c r="QID33" s="41"/>
      <c r="QIO33" s="41"/>
      <c r="QIZ33" s="41"/>
      <c r="QJK33" s="41"/>
      <c r="QJV33" s="41"/>
      <c r="QKG33" s="41"/>
      <c r="QKR33" s="41"/>
      <c r="QLC33" s="41"/>
      <c r="QLN33" s="41"/>
      <c r="QLY33" s="41"/>
      <c r="QMJ33" s="41"/>
      <c r="QMU33" s="41"/>
      <c r="QNF33" s="41"/>
      <c r="QNQ33" s="41"/>
      <c r="QOB33" s="41"/>
      <c r="QOM33" s="41"/>
      <c r="QOX33" s="41"/>
      <c r="QPI33" s="41"/>
      <c r="QPT33" s="41"/>
      <c r="QQE33" s="41"/>
      <c r="QQP33" s="41"/>
      <c r="QRA33" s="41"/>
      <c r="QRL33" s="41"/>
      <c r="QRW33" s="41"/>
      <c r="QSH33" s="41"/>
      <c r="QSS33" s="41"/>
      <c r="QTD33" s="41"/>
      <c r="QTO33" s="41"/>
      <c r="QTZ33" s="41"/>
      <c r="QUK33" s="41"/>
      <c r="QUV33" s="41"/>
      <c r="QVG33" s="41"/>
      <c r="QVR33" s="41"/>
      <c r="QWC33" s="41"/>
      <c r="QWN33" s="41"/>
      <c r="QWY33" s="41"/>
      <c r="QXJ33" s="41"/>
      <c r="QXU33" s="41"/>
      <c r="QYF33" s="41"/>
      <c r="QYQ33" s="41"/>
      <c r="QZB33" s="41"/>
      <c r="QZM33" s="41"/>
      <c r="QZX33" s="41"/>
      <c r="RAI33" s="41"/>
      <c r="RAT33" s="41"/>
      <c r="RBE33" s="41"/>
      <c r="RBP33" s="41"/>
      <c r="RCA33" s="41"/>
      <c r="RCL33" s="41"/>
      <c r="RCW33" s="41"/>
      <c r="RDH33" s="41"/>
      <c r="RDS33" s="41"/>
      <c r="RED33" s="41"/>
      <c r="REO33" s="41"/>
      <c r="REZ33" s="41"/>
      <c r="RFK33" s="41"/>
      <c r="RFV33" s="41"/>
      <c r="RGG33" s="41"/>
      <c r="RGR33" s="41"/>
      <c r="RHC33" s="41"/>
      <c r="RHN33" s="41"/>
      <c r="RHY33" s="41"/>
      <c r="RIJ33" s="41"/>
      <c r="RIU33" s="41"/>
      <c r="RJF33" s="41"/>
      <c r="RJQ33" s="41"/>
      <c r="RKB33" s="41"/>
      <c r="RKM33" s="41"/>
      <c r="RKX33" s="41"/>
      <c r="RLI33" s="41"/>
      <c r="RLT33" s="41"/>
      <c r="RME33" s="41"/>
      <c r="RMP33" s="41"/>
      <c r="RNA33" s="41"/>
      <c r="RNL33" s="41"/>
      <c r="RNW33" s="41"/>
      <c r="ROH33" s="41"/>
      <c r="ROS33" s="41"/>
      <c r="RPD33" s="41"/>
      <c r="RPO33" s="41"/>
      <c r="RPZ33" s="41"/>
      <c r="RQK33" s="41"/>
      <c r="RQV33" s="41"/>
      <c r="RRG33" s="41"/>
      <c r="RRR33" s="41"/>
      <c r="RSC33" s="41"/>
      <c r="RSN33" s="41"/>
      <c r="RSY33" s="41"/>
      <c r="RTJ33" s="41"/>
      <c r="RTU33" s="41"/>
      <c r="RUF33" s="41"/>
      <c r="RUQ33" s="41"/>
      <c r="RVB33" s="41"/>
      <c r="RVM33" s="41"/>
      <c r="RVX33" s="41"/>
      <c r="RWI33" s="41"/>
      <c r="RWT33" s="41"/>
      <c r="RXE33" s="41"/>
      <c r="RXP33" s="41"/>
      <c r="RYA33" s="41"/>
      <c r="RYL33" s="41"/>
      <c r="RYW33" s="41"/>
      <c r="RZH33" s="41"/>
      <c r="RZS33" s="41"/>
      <c r="SAD33" s="41"/>
      <c r="SAO33" s="41"/>
      <c r="SAZ33" s="41"/>
      <c r="SBK33" s="41"/>
      <c r="SBV33" s="41"/>
      <c r="SCG33" s="41"/>
      <c r="SCR33" s="41"/>
      <c r="SDC33" s="41"/>
      <c r="SDN33" s="41"/>
      <c r="SDY33" s="41"/>
      <c r="SEJ33" s="41"/>
      <c r="SEU33" s="41"/>
      <c r="SFF33" s="41"/>
      <c r="SFQ33" s="41"/>
      <c r="SGB33" s="41"/>
      <c r="SGM33" s="41"/>
      <c r="SGX33" s="41"/>
      <c r="SHI33" s="41"/>
      <c r="SHT33" s="41"/>
      <c r="SIE33" s="41"/>
      <c r="SIP33" s="41"/>
      <c r="SJA33" s="41"/>
      <c r="SJL33" s="41"/>
      <c r="SJW33" s="41"/>
      <c r="SKH33" s="41"/>
      <c r="SKS33" s="41"/>
      <c r="SLD33" s="41"/>
      <c r="SLO33" s="41"/>
      <c r="SLZ33" s="41"/>
      <c r="SMK33" s="41"/>
      <c r="SMV33" s="41"/>
      <c r="SNG33" s="41"/>
      <c r="SNR33" s="41"/>
      <c r="SOC33" s="41"/>
      <c r="SON33" s="41"/>
      <c r="SOY33" s="41"/>
      <c r="SPJ33" s="41"/>
      <c r="SPU33" s="41"/>
      <c r="SQF33" s="41"/>
      <c r="SQQ33" s="41"/>
      <c r="SRB33" s="41"/>
      <c r="SRM33" s="41"/>
      <c r="SRX33" s="41"/>
      <c r="SSI33" s="41"/>
      <c r="SST33" s="41"/>
      <c r="STE33" s="41"/>
      <c r="STP33" s="41"/>
      <c r="SUA33" s="41"/>
      <c r="SUL33" s="41"/>
      <c r="SUW33" s="41"/>
      <c r="SVH33" s="41"/>
      <c r="SVS33" s="41"/>
      <c r="SWD33" s="41"/>
      <c r="SWO33" s="41"/>
      <c r="SWZ33" s="41"/>
      <c r="SXK33" s="41"/>
      <c r="SXV33" s="41"/>
      <c r="SYG33" s="41"/>
      <c r="SYR33" s="41"/>
      <c r="SZC33" s="41"/>
      <c r="SZN33" s="41"/>
      <c r="SZY33" s="41"/>
      <c r="TAJ33" s="41"/>
      <c r="TAU33" s="41"/>
      <c r="TBF33" s="41"/>
      <c r="TBQ33" s="41"/>
      <c r="TCB33" s="41"/>
      <c r="TCM33" s="41"/>
      <c r="TCX33" s="41"/>
      <c r="TDI33" s="41"/>
      <c r="TDT33" s="41"/>
      <c r="TEE33" s="41"/>
      <c r="TEP33" s="41"/>
      <c r="TFA33" s="41"/>
      <c r="TFL33" s="41"/>
      <c r="TFW33" s="41"/>
      <c r="TGH33" s="41"/>
      <c r="TGS33" s="41"/>
      <c r="THD33" s="41"/>
      <c r="THO33" s="41"/>
      <c r="THZ33" s="41"/>
      <c r="TIK33" s="41"/>
      <c r="TIV33" s="41"/>
      <c r="TJG33" s="41"/>
      <c r="TJR33" s="41"/>
      <c r="TKC33" s="41"/>
      <c r="TKN33" s="41"/>
      <c r="TKY33" s="41"/>
      <c r="TLJ33" s="41"/>
      <c r="TLU33" s="41"/>
      <c r="TMF33" s="41"/>
      <c r="TMQ33" s="41"/>
      <c r="TNB33" s="41"/>
      <c r="TNM33" s="41"/>
      <c r="TNX33" s="41"/>
      <c r="TOI33" s="41"/>
      <c r="TOT33" s="41"/>
      <c r="TPE33" s="41"/>
      <c r="TPP33" s="41"/>
      <c r="TQA33" s="41"/>
      <c r="TQL33" s="41"/>
      <c r="TQW33" s="41"/>
      <c r="TRH33" s="41"/>
      <c r="TRS33" s="41"/>
      <c r="TSD33" s="41"/>
      <c r="TSO33" s="41"/>
      <c r="TSZ33" s="41"/>
      <c r="TTK33" s="41"/>
      <c r="TTV33" s="41"/>
      <c r="TUG33" s="41"/>
      <c r="TUR33" s="41"/>
      <c r="TVC33" s="41"/>
      <c r="TVN33" s="41"/>
      <c r="TVY33" s="41"/>
      <c r="TWJ33" s="41"/>
      <c r="TWU33" s="41"/>
      <c r="TXF33" s="41"/>
      <c r="TXQ33" s="41"/>
      <c r="TYB33" s="41"/>
      <c r="TYM33" s="41"/>
      <c r="TYX33" s="41"/>
      <c r="TZI33" s="41"/>
      <c r="TZT33" s="41"/>
      <c r="UAE33" s="41"/>
      <c r="UAP33" s="41"/>
      <c r="UBA33" s="41"/>
      <c r="UBL33" s="41"/>
      <c r="UBW33" s="41"/>
      <c r="UCH33" s="41"/>
      <c r="UCS33" s="41"/>
      <c r="UDD33" s="41"/>
      <c r="UDO33" s="41"/>
      <c r="UDZ33" s="41"/>
      <c r="UEK33" s="41"/>
      <c r="UEV33" s="41"/>
      <c r="UFG33" s="41"/>
      <c r="UFR33" s="41"/>
      <c r="UGC33" s="41"/>
      <c r="UGN33" s="41"/>
      <c r="UGY33" s="41"/>
      <c r="UHJ33" s="41"/>
      <c r="UHU33" s="41"/>
      <c r="UIF33" s="41"/>
      <c r="UIQ33" s="41"/>
      <c r="UJB33" s="41"/>
      <c r="UJM33" s="41"/>
      <c r="UJX33" s="41"/>
      <c r="UKI33" s="41"/>
      <c r="UKT33" s="41"/>
      <c r="ULE33" s="41"/>
      <c r="ULP33" s="41"/>
      <c r="UMA33" s="41"/>
      <c r="UML33" s="41"/>
      <c r="UMW33" s="41"/>
      <c r="UNH33" s="41"/>
      <c r="UNS33" s="41"/>
      <c r="UOD33" s="41"/>
      <c r="UOO33" s="41"/>
      <c r="UOZ33" s="41"/>
      <c r="UPK33" s="41"/>
      <c r="UPV33" s="41"/>
      <c r="UQG33" s="41"/>
      <c r="UQR33" s="41"/>
      <c r="URC33" s="41"/>
      <c r="URN33" s="41"/>
      <c r="URY33" s="41"/>
      <c r="USJ33" s="41"/>
      <c r="USU33" s="41"/>
      <c r="UTF33" s="41"/>
      <c r="UTQ33" s="41"/>
      <c r="UUB33" s="41"/>
      <c r="UUM33" s="41"/>
      <c r="UUX33" s="41"/>
      <c r="UVI33" s="41"/>
      <c r="UVT33" s="41"/>
      <c r="UWE33" s="41"/>
      <c r="UWP33" s="41"/>
      <c r="UXA33" s="41"/>
      <c r="UXL33" s="41"/>
      <c r="UXW33" s="41"/>
      <c r="UYH33" s="41"/>
      <c r="UYS33" s="41"/>
      <c r="UZD33" s="41"/>
      <c r="UZO33" s="41"/>
      <c r="UZZ33" s="41"/>
      <c r="VAK33" s="41"/>
      <c r="VAV33" s="41"/>
      <c r="VBG33" s="41"/>
      <c r="VBR33" s="41"/>
      <c r="VCC33" s="41"/>
      <c r="VCN33" s="41"/>
      <c r="VCY33" s="41"/>
      <c r="VDJ33" s="41"/>
      <c r="VDU33" s="41"/>
      <c r="VEF33" s="41"/>
      <c r="VEQ33" s="41"/>
      <c r="VFB33" s="41"/>
      <c r="VFM33" s="41"/>
      <c r="VFX33" s="41"/>
      <c r="VGI33" s="41"/>
      <c r="VGT33" s="41"/>
      <c r="VHE33" s="41"/>
      <c r="VHP33" s="41"/>
      <c r="VIA33" s="41"/>
      <c r="VIL33" s="41"/>
      <c r="VIW33" s="41"/>
      <c r="VJH33" s="41"/>
      <c r="VJS33" s="41"/>
      <c r="VKD33" s="41"/>
      <c r="VKO33" s="41"/>
      <c r="VKZ33" s="41"/>
      <c r="VLK33" s="41"/>
      <c r="VLV33" s="41"/>
      <c r="VMG33" s="41"/>
      <c r="VMR33" s="41"/>
      <c r="VNC33" s="41"/>
      <c r="VNN33" s="41"/>
      <c r="VNY33" s="41"/>
      <c r="VOJ33" s="41"/>
      <c r="VOU33" s="41"/>
      <c r="VPF33" s="41"/>
      <c r="VPQ33" s="41"/>
      <c r="VQB33" s="41"/>
      <c r="VQM33" s="41"/>
      <c r="VQX33" s="41"/>
      <c r="VRI33" s="41"/>
      <c r="VRT33" s="41"/>
      <c r="VSE33" s="41"/>
      <c r="VSP33" s="41"/>
      <c r="VTA33" s="41"/>
      <c r="VTL33" s="41"/>
      <c r="VTW33" s="41"/>
      <c r="VUH33" s="41"/>
      <c r="VUS33" s="41"/>
      <c r="VVD33" s="41"/>
      <c r="VVO33" s="41"/>
      <c r="VVZ33" s="41"/>
      <c r="VWK33" s="41"/>
      <c r="VWV33" s="41"/>
      <c r="VXG33" s="41"/>
      <c r="VXR33" s="41"/>
      <c r="VYC33" s="41"/>
      <c r="VYN33" s="41"/>
      <c r="VYY33" s="41"/>
      <c r="VZJ33" s="41"/>
      <c r="VZU33" s="41"/>
      <c r="WAF33" s="41"/>
      <c r="WAQ33" s="41"/>
      <c r="WBB33" s="41"/>
      <c r="WBM33" s="41"/>
      <c r="WBX33" s="41"/>
      <c r="WCI33" s="41"/>
      <c r="WCT33" s="41"/>
      <c r="WDE33" s="41"/>
      <c r="WDP33" s="41"/>
      <c r="WEA33" s="41"/>
      <c r="WEL33" s="41"/>
      <c r="WEW33" s="41"/>
      <c r="WFH33" s="41"/>
      <c r="WFS33" s="41"/>
      <c r="WGD33" s="41"/>
      <c r="WGO33" s="41"/>
      <c r="WGZ33" s="41"/>
      <c r="WHK33" s="41"/>
      <c r="WHV33" s="41"/>
      <c r="WIG33" s="41"/>
      <c r="WIR33" s="41"/>
      <c r="WJC33" s="41"/>
      <c r="WJN33" s="41"/>
      <c r="WJY33" s="41"/>
      <c r="WKJ33" s="41"/>
      <c r="WKU33" s="41"/>
      <c r="WLF33" s="41"/>
      <c r="WLQ33" s="41"/>
      <c r="WMB33" s="41"/>
      <c r="WMM33" s="41"/>
      <c r="WMX33" s="41"/>
      <c r="WNI33" s="41"/>
      <c r="WNT33" s="41"/>
      <c r="WOE33" s="41"/>
      <c r="WOP33" s="41"/>
      <c r="WPA33" s="41"/>
      <c r="WPL33" s="41"/>
      <c r="WPW33" s="41"/>
      <c r="WQH33" s="41"/>
      <c r="WQS33" s="41"/>
      <c r="WRD33" s="41"/>
      <c r="WRO33" s="41"/>
      <c r="WRZ33" s="41"/>
      <c r="WSK33" s="41"/>
      <c r="WSV33" s="41"/>
      <c r="WTG33" s="41"/>
      <c r="WTR33" s="41"/>
      <c r="WUC33" s="41"/>
      <c r="WUN33" s="41"/>
      <c r="WUY33" s="41"/>
      <c r="WVJ33" s="41"/>
      <c r="WVU33" s="41"/>
      <c r="WWF33" s="41"/>
      <c r="WWQ33" s="41"/>
      <c r="WXB33" s="41"/>
      <c r="WXM33" s="41"/>
      <c r="WXX33" s="41"/>
      <c r="WYI33" s="41"/>
      <c r="WYT33" s="41"/>
      <c r="WZE33" s="41"/>
      <c r="WZP33" s="41"/>
      <c r="XAA33" s="41"/>
      <c r="XAL33" s="41"/>
      <c r="XAW33" s="41"/>
      <c r="XBH33" s="41"/>
      <c r="XBS33" s="41"/>
      <c r="XCD33" s="41"/>
      <c r="XCO33" s="41"/>
      <c r="XCZ33" s="41"/>
      <c r="XDK33" s="41"/>
      <c r="XDV33" s="41"/>
      <c r="XEG33" s="41"/>
      <c r="XER33" s="41"/>
      <c r="XFC33" s="41"/>
    </row>
    <row r="34" spans="4:1016 1027:2039 2050:3062 3073:4096 4107:5119 5130:6142 6153:7165 7176:8188 8199:9211 9222:10234 10245:11257 11268:12280 12291:13303 13314:14326 14337:15360 15371:16383" s="40" customFormat="1" ht="17.25" customHeight="1">
      <c r="D34"/>
      <c r="F34" s="41"/>
      <c r="G34" s="42"/>
      <c r="H34" s="42"/>
      <c r="I34" s="42"/>
      <c r="P34" s="221"/>
      <c r="Q34" s="221"/>
      <c r="R34" s="221"/>
      <c r="S34" s="221"/>
      <c r="T34" s="221"/>
      <c r="U34" s="204"/>
      <c r="V34" s="204"/>
      <c r="W34" s="204"/>
      <c r="X34" s="204"/>
      <c r="Y34" s="204"/>
      <c r="Z34" s="204"/>
      <c r="AK34" s="41"/>
      <c r="AV34" s="41"/>
      <c r="BG34" s="41"/>
      <c r="BR34" s="41"/>
      <c r="CC34" s="41"/>
      <c r="CN34" s="41"/>
      <c r="CY34" s="41"/>
      <c r="DJ34" s="41"/>
      <c r="DU34" s="41"/>
      <c r="EF34" s="41"/>
      <c r="EQ34" s="41"/>
      <c r="FB34" s="41"/>
      <c r="FM34" s="41"/>
      <c r="FX34" s="41"/>
      <c r="GI34" s="41"/>
      <c r="GT34" s="41"/>
      <c r="HE34" s="41"/>
      <c r="HP34" s="41"/>
      <c r="IA34" s="41"/>
      <c r="IL34" s="41"/>
      <c r="IW34" s="41"/>
      <c r="JH34" s="41"/>
      <c r="JS34" s="41"/>
      <c r="KD34" s="41"/>
      <c r="KO34" s="41"/>
      <c r="KZ34" s="41"/>
      <c r="LK34" s="41"/>
      <c r="LV34" s="41"/>
      <c r="MG34" s="41"/>
      <c r="MR34" s="41"/>
      <c r="NC34" s="41"/>
      <c r="NN34" s="41"/>
      <c r="NY34" s="41"/>
      <c r="OJ34" s="41"/>
      <c r="OU34" s="41"/>
      <c r="PF34" s="41"/>
      <c r="PQ34" s="41"/>
      <c r="QB34" s="41"/>
      <c r="QM34" s="41"/>
      <c r="QX34" s="41"/>
      <c r="RI34" s="41"/>
      <c r="RT34" s="41"/>
      <c r="SE34" s="41"/>
      <c r="SP34" s="41"/>
      <c r="TA34" s="41"/>
      <c r="TL34" s="41"/>
      <c r="TW34" s="41"/>
      <c r="UH34" s="41"/>
      <c r="US34" s="41"/>
      <c r="VD34" s="41"/>
      <c r="VO34" s="41"/>
      <c r="VZ34" s="41"/>
      <c r="WK34" s="41"/>
      <c r="WV34" s="41"/>
      <c r="XG34" s="41"/>
      <c r="XR34" s="41"/>
      <c r="YC34" s="41"/>
      <c r="YN34" s="41"/>
      <c r="YY34" s="41"/>
      <c r="ZJ34" s="41"/>
      <c r="ZU34" s="41"/>
      <c r="AAF34" s="41"/>
      <c r="AAQ34" s="41"/>
      <c r="ABB34" s="41"/>
      <c r="ABM34" s="41"/>
      <c r="ABX34" s="41"/>
      <c r="ACI34" s="41"/>
      <c r="ACT34" s="41"/>
      <c r="ADE34" s="41"/>
      <c r="ADP34" s="41"/>
      <c r="AEA34" s="41"/>
      <c r="AEL34" s="41"/>
      <c r="AEW34" s="41"/>
      <c r="AFH34" s="41"/>
      <c r="AFS34" s="41"/>
      <c r="AGD34" s="41"/>
      <c r="AGO34" s="41"/>
      <c r="AGZ34" s="41"/>
      <c r="AHK34" s="41"/>
      <c r="AHV34" s="41"/>
      <c r="AIG34" s="41"/>
      <c r="AIR34" s="41"/>
      <c r="AJC34" s="41"/>
      <c r="AJN34" s="41"/>
      <c r="AJY34" s="41"/>
      <c r="AKJ34" s="41"/>
      <c r="AKU34" s="41"/>
      <c r="ALF34" s="41"/>
      <c r="ALQ34" s="41"/>
      <c r="AMB34" s="41"/>
      <c r="AMM34" s="41"/>
      <c r="AMX34" s="41"/>
      <c r="ANI34" s="41"/>
      <c r="ANT34" s="41"/>
      <c r="AOE34" s="41"/>
      <c r="AOP34" s="41"/>
      <c r="APA34" s="41"/>
      <c r="APL34" s="41"/>
      <c r="APW34" s="41"/>
      <c r="AQH34" s="41"/>
      <c r="AQS34" s="41"/>
      <c r="ARD34" s="41"/>
      <c r="ARO34" s="41"/>
      <c r="ARZ34" s="41"/>
      <c r="ASK34" s="41"/>
      <c r="ASV34" s="41"/>
      <c r="ATG34" s="41"/>
      <c r="ATR34" s="41"/>
      <c r="AUC34" s="41"/>
      <c r="AUN34" s="41"/>
      <c r="AUY34" s="41"/>
      <c r="AVJ34" s="41"/>
      <c r="AVU34" s="41"/>
      <c r="AWF34" s="41"/>
      <c r="AWQ34" s="41"/>
      <c r="AXB34" s="41"/>
      <c r="AXM34" s="41"/>
      <c r="AXX34" s="41"/>
      <c r="AYI34" s="41"/>
      <c r="AYT34" s="41"/>
      <c r="AZE34" s="41"/>
      <c r="AZP34" s="41"/>
      <c r="BAA34" s="41"/>
      <c r="BAL34" s="41"/>
      <c r="BAW34" s="41"/>
      <c r="BBH34" s="41"/>
      <c r="BBS34" s="41"/>
      <c r="BCD34" s="41"/>
      <c r="BCO34" s="41"/>
      <c r="BCZ34" s="41"/>
      <c r="BDK34" s="41"/>
      <c r="BDV34" s="41"/>
      <c r="BEG34" s="41"/>
      <c r="BER34" s="41"/>
      <c r="BFC34" s="41"/>
      <c r="BFN34" s="41"/>
      <c r="BFY34" s="41"/>
      <c r="BGJ34" s="41"/>
      <c r="BGU34" s="41"/>
      <c r="BHF34" s="41"/>
      <c r="BHQ34" s="41"/>
      <c r="BIB34" s="41"/>
      <c r="BIM34" s="41"/>
      <c r="BIX34" s="41"/>
      <c r="BJI34" s="41"/>
      <c r="BJT34" s="41"/>
      <c r="BKE34" s="41"/>
      <c r="BKP34" s="41"/>
      <c r="BLA34" s="41"/>
      <c r="BLL34" s="41"/>
      <c r="BLW34" s="41"/>
      <c r="BMH34" s="41"/>
      <c r="BMS34" s="41"/>
      <c r="BND34" s="41"/>
      <c r="BNO34" s="41"/>
      <c r="BNZ34" s="41"/>
      <c r="BOK34" s="41"/>
      <c r="BOV34" s="41"/>
      <c r="BPG34" s="41"/>
      <c r="BPR34" s="41"/>
      <c r="BQC34" s="41"/>
      <c r="BQN34" s="41"/>
      <c r="BQY34" s="41"/>
      <c r="BRJ34" s="41"/>
      <c r="BRU34" s="41"/>
      <c r="BSF34" s="41"/>
      <c r="BSQ34" s="41"/>
      <c r="BTB34" s="41"/>
      <c r="BTM34" s="41"/>
      <c r="BTX34" s="41"/>
      <c r="BUI34" s="41"/>
      <c r="BUT34" s="41"/>
      <c r="BVE34" s="41"/>
      <c r="BVP34" s="41"/>
      <c r="BWA34" s="41"/>
      <c r="BWL34" s="41"/>
      <c r="BWW34" s="41"/>
      <c r="BXH34" s="41"/>
      <c r="BXS34" s="41"/>
      <c r="BYD34" s="41"/>
      <c r="BYO34" s="41"/>
      <c r="BYZ34" s="41"/>
      <c r="BZK34" s="41"/>
      <c r="BZV34" s="41"/>
      <c r="CAG34" s="41"/>
      <c r="CAR34" s="41"/>
      <c r="CBC34" s="41"/>
      <c r="CBN34" s="41"/>
      <c r="CBY34" s="41"/>
      <c r="CCJ34" s="41"/>
      <c r="CCU34" s="41"/>
      <c r="CDF34" s="41"/>
      <c r="CDQ34" s="41"/>
      <c r="CEB34" s="41"/>
      <c r="CEM34" s="41"/>
      <c r="CEX34" s="41"/>
      <c r="CFI34" s="41"/>
      <c r="CFT34" s="41"/>
      <c r="CGE34" s="41"/>
      <c r="CGP34" s="41"/>
      <c r="CHA34" s="41"/>
      <c r="CHL34" s="41"/>
      <c r="CHW34" s="41"/>
      <c r="CIH34" s="41"/>
      <c r="CIS34" s="41"/>
      <c r="CJD34" s="41"/>
      <c r="CJO34" s="41"/>
      <c r="CJZ34" s="41"/>
      <c r="CKK34" s="41"/>
      <c r="CKV34" s="41"/>
      <c r="CLG34" s="41"/>
      <c r="CLR34" s="41"/>
      <c r="CMC34" s="41"/>
      <c r="CMN34" s="41"/>
      <c r="CMY34" s="41"/>
      <c r="CNJ34" s="41"/>
      <c r="CNU34" s="41"/>
      <c r="COF34" s="41"/>
      <c r="COQ34" s="41"/>
      <c r="CPB34" s="41"/>
      <c r="CPM34" s="41"/>
      <c r="CPX34" s="41"/>
      <c r="CQI34" s="41"/>
      <c r="CQT34" s="41"/>
      <c r="CRE34" s="41"/>
      <c r="CRP34" s="41"/>
      <c r="CSA34" s="41"/>
      <c r="CSL34" s="41"/>
      <c r="CSW34" s="41"/>
      <c r="CTH34" s="41"/>
      <c r="CTS34" s="41"/>
      <c r="CUD34" s="41"/>
      <c r="CUO34" s="41"/>
      <c r="CUZ34" s="41"/>
      <c r="CVK34" s="41"/>
      <c r="CVV34" s="41"/>
      <c r="CWG34" s="41"/>
      <c r="CWR34" s="41"/>
      <c r="CXC34" s="41"/>
      <c r="CXN34" s="41"/>
      <c r="CXY34" s="41"/>
      <c r="CYJ34" s="41"/>
      <c r="CYU34" s="41"/>
      <c r="CZF34" s="41"/>
      <c r="CZQ34" s="41"/>
      <c r="DAB34" s="41"/>
      <c r="DAM34" s="41"/>
      <c r="DAX34" s="41"/>
      <c r="DBI34" s="41"/>
      <c r="DBT34" s="41"/>
      <c r="DCE34" s="41"/>
      <c r="DCP34" s="41"/>
      <c r="DDA34" s="41"/>
      <c r="DDL34" s="41"/>
      <c r="DDW34" s="41"/>
      <c r="DEH34" s="41"/>
      <c r="DES34" s="41"/>
      <c r="DFD34" s="41"/>
      <c r="DFO34" s="41"/>
      <c r="DFZ34" s="41"/>
      <c r="DGK34" s="41"/>
      <c r="DGV34" s="41"/>
      <c r="DHG34" s="41"/>
      <c r="DHR34" s="41"/>
      <c r="DIC34" s="41"/>
      <c r="DIN34" s="41"/>
      <c r="DIY34" s="41"/>
      <c r="DJJ34" s="41"/>
      <c r="DJU34" s="41"/>
      <c r="DKF34" s="41"/>
      <c r="DKQ34" s="41"/>
      <c r="DLB34" s="41"/>
      <c r="DLM34" s="41"/>
      <c r="DLX34" s="41"/>
      <c r="DMI34" s="41"/>
      <c r="DMT34" s="41"/>
      <c r="DNE34" s="41"/>
      <c r="DNP34" s="41"/>
      <c r="DOA34" s="41"/>
      <c r="DOL34" s="41"/>
      <c r="DOW34" s="41"/>
      <c r="DPH34" s="41"/>
      <c r="DPS34" s="41"/>
      <c r="DQD34" s="41"/>
      <c r="DQO34" s="41"/>
      <c r="DQZ34" s="41"/>
      <c r="DRK34" s="41"/>
      <c r="DRV34" s="41"/>
      <c r="DSG34" s="41"/>
      <c r="DSR34" s="41"/>
      <c r="DTC34" s="41"/>
      <c r="DTN34" s="41"/>
      <c r="DTY34" s="41"/>
      <c r="DUJ34" s="41"/>
      <c r="DUU34" s="41"/>
      <c r="DVF34" s="41"/>
      <c r="DVQ34" s="41"/>
      <c r="DWB34" s="41"/>
      <c r="DWM34" s="41"/>
      <c r="DWX34" s="41"/>
      <c r="DXI34" s="41"/>
      <c r="DXT34" s="41"/>
      <c r="DYE34" s="41"/>
      <c r="DYP34" s="41"/>
      <c r="DZA34" s="41"/>
      <c r="DZL34" s="41"/>
      <c r="DZW34" s="41"/>
      <c r="EAH34" s="41"/>
      <c r="EAS34" s="41"/>
      <c r="EBD34" s="41"/>
      <c r="EBO34" s="41"/>
      <c r="EBZ34" s="41"/>
      <c r="ECK34" s="41"/>
      <c r="ECV34" s="41"/>
      <c r="EDG34" s="41"/>
      <c r="EDR34" s="41"/>
      <c r="EEC34" s="41"/>
      <c r="EEN34" s="41"/>
      <c r="EEY34" s="41"/>
      <c r="EFJ34" s="41"/>
      <c r="EFU34" s="41"/>
      <c r="EGF34" s="41"/>
      <c r="EGQ34" s="41"/>
      <c r="EHB34" s="41"/>
      <c r="EHM34" s="41"/>
      <c r="EHX34" s="41"/>
      <c r="EII34" s="41"/>
      <c r="EIT34" s="41"/>
      <c r="EJE34" s="41"/>
      <c r="EJP34" s="41"/>
      <c r="EKA34" s="41"/>
      <c r="EKL34" s="41"/>
      <c r="EKW34" s="41"/>
      <c r="ELH34" s="41"/>
      <c r="ELS34" s="41"/>
      <c r="EMD34" s="41"/>
      <c r="EMO34" s="41"/>
      <c r="EMZ34" s="41"/>
      <c r="ENK34" s="41"/>
      <c r="ENV34" s="41"/>
      <c r="EOG34" s="41"/>
      <c r="EOR34" s="41"/>
      <c r="EPC34" s="41"/>
      <c r="EPN34" s="41"/>
      <c r="EPY34" s="41"/>
      <c r="EQJ34" s="41"/>
      <c r="EQU34" s="41"/>
      <c r="ERF34" s="41"/>
      <c r="ERQ34" s="41"/>
      <c r="ESB34" s="41"/>
      <c r="ESM34" s="41"/>
      <c r="ESX34" s="41"/>
      <c r="ETI34" s="41"/>
      <c r="ETT34" s="41"/>
      <c r="EUE34" s="41"/>
      <c r="EUP34" s="41"/>
      <c r="EVA34" s="41"/>
      <c r="EVL34" s="41"/>
      <c r="EVW34" s="41"/>
      <c r="EWH34" s="41"/>
      <c r="EWS34" s="41"/>
      <c r="EXD34" s="41"/>
      <c r="EXO34" s="41"/>
      <c r="EXZ34" s="41"/>
      <c r="EYK34" s="41"/>
      <c r="EYV34" s="41"/>
      <c r="EZG34" s="41"/>
      <c r="EZR34" s="41"/>
      <c r="FAC34" s="41"/>
      <c r="FAN34" s="41"/>
      <c r="FAY34" s="41"/>
      <c r="FBJ34" s="41"/>
      <c r="FBU34" s="41"/>
      <c r="FCF34" s="41"/>
      <c r="FCQ34" s="41"/>
      <c r="FDB34" s="41"/>
      <c r="FDM34" s="41"/>
      <c r="FDX34" s="41"/>
      <c r="FEI34" s="41"/>
      <c r="FET34" s="41"/>
      <c r="FFE34" s="41"/>
      <c r="FFP34" s="41"/>
      <c r="FGA34" s="41"/>
      <c r="FGL34" s="41"/>
      <c r="FGW34" s="41"/>
      <c r="FHH34" s="41"/>
      <c r="FHS34" s="41"/>
      <c r="FID34" s="41"/>
      <c r="FIO34" s="41"/>
      <c r="FIZ34" s="41"/>
      <c r="FJK34" s="41"/>
      <c r="FJV34" s="41"/>
      <c r="FKG34" s="41"/>
      <c r="FKR34" s="41"/>
      <c r="FLC34" s="41"/>
      <c r="FLN34" s="41"/>
      <c r="FLY34" s="41"/>
      <c r="FMJ34" s="41"/>
      <c r="FMU34" s="41"/>
      <c r="FNF34" s="41"/>
      <c r="FNQ34" s="41"/>
      <c r="FOB34" s="41"/>
      <c r="FOM34" s="41"/>
      <c r="FOX34" s="41"/>
      <c r="FPI34" s="41"/>
      <c r="FPT34" s="41"/>
      <c r="FQE34" s="41"/>
      <c r="FQP34" s="41"/>
      <c r="FRA34" s="41"/>
      <c r="FRL34" s="41"/>
      <c r="FRW34" s="41"/>
      <c r="FSH34" s="41"/>
      <c r="FSS34" s="41"/>
      <c r="FTD34" s="41"/>
      <c r="FTO34" s="41"/>
      <c r="FTZ34" s="41"/>
      <c r="FUK34" s="41"/>
      <c r="FUV34" s="41"/>
      <c r="FVG34" s="41"/>
      <c r="FVR34" s="41"/>
      <c r="FWC34" s="41"/>
      <c r="FWN34" s="41"/>
      <c r="FWY34" s="41"/>
      <c r="FXJ34" s="41"/>
      <c r="FXU34" s="41"/>
      <c r="FYF34" s="41"/>
      <c r="FYQ34" s="41"/>
      <c r="FZB34" s="41"/>
      <c r="FZM34" s="41"/>
      <c r="FZX34" s="41"/>
      <c r="GAI34" s="41"/>
      <c r="GAT34" s="41"/>
      <c r="GBE34" s="41"/>
      <c r="GBP34" s="41"/>
      <c r="GCA34" s="41"/>
      <c r="GCL34" s="41"/>
      <c r="GCW34" s="41"/>
      <c r="GDH34" s="41"/>
      <c r="GDS34" s="41"/>
      <c r="GED34" s="41"/>
      <c r="GEO34" s="41"/>
      <c r="GEZ34" s="41"/>
      <c r="GFK34" s="41"/>
      <c r="GFV34" s="41"/>
      <c r="GGG34" s="41"/>
      <c r="GGR34" s="41"/>
      <c r="GHC34" s="41"/>
      <c r="GHN34" s="41"/>
      <c r="GHY34" s="41"/>
      <c r="GIJ34" s="41"/>
      <c r="GIU34" s="41"/>
      <c r="GJF34" s="41"/>
      <c r="GJQ34" s="41"/>
      <c r="GKB34" s="41"/>
      <c r="GKM34" s="41"/>
      <c r="GKX34" s="41"/>
      <c r="GLI34" s="41"/>
      <c r="GLT34" s="41"/>
      <c r="GME34" s="41"/>
      <c r="GMP34" s="41"/>
      <c r="GNA34" s="41"/>
      <c r="GNL34" s="41"/>
      <c r="GNW34" s="41"/>
      <c r="GOH34" s="41"/>
      <c r="GOS34" s="41"/>
      <c r="GPD34" s="41"/>
      <c r="GPO34" s="41"/>
      <c r="GPZ34" s="41"/>
      <c r="GQK34" s="41"/>
      <c r="GQV34" s="41"/>
      <c r="GRG34" s="41"/>
      <c r="GRR34" s="41"/>
      <c r="GSC34" s="41"/>
      <c r="GSN34" s="41"/>
      <c r="GSY34" s="41"/>
      <c r="GTJ34" s="41"/>
      <c r="GTU34" s="41"/>
      <c r="GUF34" s="41"/>
      <c r="GUQ34" s="41"/>
      <c r="GVB34" s="41"/>
      <c r="GVM34" s="41"/>
      <c r="GVX34" s="41"/>
      <c r="GWI34" s="41"/>
      <c r="GWT34" s="41"/>
      <c r="GXE34" s="41"/>
      <c r="GXP34" s="41"/>
      <c r="GYA34" s="41"/>
      <c r="GYL34" s="41"/>
      <c r="GYW34" s="41"/>
      <c r="GZH34" s="41"/>
      <c r="GZS34" s="41"/>
      <c r="HAD34" s="41"/>
      <c r="HAO34" s="41"/>
      <c r="HAZ34" s="41"/>
      <c r="HBK34" s="41"/>
      <c r="HBV34" s="41"/>
      <c r="HCG34" s="41"/>
      <c r="HCR34" s="41"/>
      <c r="HDC34" s="41"/>
      <c r="HDN34" s="41"/>
      <c r="HDY34" s="41"/>
      <c r="HEJ34" s="41"/>
      <c r="HEU34" s="41"/>
      <c r="HFF34" s="41"/>
      <c r="HFQ34" s="41"/>
      <c r="HGB34" s="41"/>
      <c r="HGM34" s="41"/>
      <c r="HGX34" s="41"/>
      <c r="HHI34" s="41"/>
      <c r="HHT34" s="41"/>
      <c r="HIE34" s="41"/>
      <c r="HIP34" s="41"/>
      <c r="HJA34" s="41"/>
      <c r="HJL34" s="41"/>
      <c r="HJW34" s="41"/>
      <c r="HKH34" s="41"/>
      <c r="HKS34" s="41"/>
      <c r="HLD34" s="41"/>
      <c r="HLO34" s="41"/>
      <c r="HLZ34" s="41"/>
      <c r="HMK34" s="41"/>
      <c r="HMV34" s="41"/>
      <c r="HNG34" s="41"/>
      <c r="HNR34" s="41"/>
      <c r="HOC34" s="41"/>
      <c r="HON34" s="41"/>
      <c r="HOY34" s="41"/>
      <c r="HPJ34" s="41"/>
      <c r="HPU34" s="41"/>
      <c r="HQF34" s="41"/>
      <c r="HQQ34" s="41"/>
      <c r="HRB34" s="41"/>
      <c r="HRM34" s="41"/>
      <c r="HRX34" s="41"/>
      <c r="HSI34" s="41"/>
      <c r="HST34" s="41"/>
      <c r="HTE34" s="41"/>
      <c r="HTP34" s="41"/>
      <c r="HUA34" s="41"/>
      <c r="HUL34" s="41"/>
      <c r="HUW34" s="41"/>
      <c r="HVH34" s="41"/>
      <c r="HVS34" s="41"/>
      <c r="HWD34" s="41"/>
      <c r="HWO34" s="41"/>
      <c r="HWZ34" s="41"/>
      <c r="HXK34" s="41"/>
      <c r="HXV34" s="41"/>
      <c r="HYG34" s="41"/>
      <c r="HYR34" s="41"/>
      <c r="HZC34" s="41"/>
      <c r="HZN34" s="41"/>
      <c r="HZY34" s="41"/>
      <c r="IAJ34" s="41"/>
      <c r="IAU34" s="41"/>
      <c r="IBF34" s="41"/>
      <c r="IBQ34" s="41"/>
      <c r="ICB34" s="41"/>
      <c r="ICM34" s="41"/>
      <c r="ICX34" s="41"/>
      <c r="IDI34" s="41"/>
      <c r="IDT34" s="41"/>
      <c r="IEE34" s="41"/>
      <c r="IEP34" s="41"/>
      <c r="IFA34" s="41"/>
      <c r="IFL34" s="41"/>
      <c r="IFW34" s="41"/>
      <c r="IGH34" s="41"/>
      <c r="IGS34" s="41"/>
      <c r="IHD34" s="41"/>
      <c r="IHO34" s="41"/>
      <c r="IHZ34" s="41"/>
      <c r="IIK34" s="41"/>
      <c r="IIV34" s="41"/>
      <c r="IJG34" s="41"/>
      <c r="IJR34" s="41"/>
      <c r="IKC34" s="41"/>
      <c r="IKN34" s="41"/>
      <c r="IKY34" s="41"/>
      <c r="ILJ34" s="41"/>
      <c r="ILU34" s="41"/>
      <c r="IMF34" s="41"/>
      <c r="IMQ34" s="41"/>
      <c r="INB34" s="41"/>
      <c r="INM34" s="41"/>
      <c r="INX34" s="41"/>
      <c r="IOI34" s="41"/>
      <c r="IOT34" s="41"/>
      <c r="IPE34" s="41"/>
      <c r="IPP34" s="41"/>
      <c r="IQA34" s="41"/>
      <c r="IQL34" s="41"/>
      <c r="IQW34" s="41"/>
      <c r="IRH34" s="41"/>
      <c r="IRS34" s="41"/>
      <c r="ISD34" s="41"/>
      <c r="ISO34" s="41"/>
      <c r="ISZ34" s="41"/>
      <c r="ITK34" s="41"/>
      <c r="ITV34" s="41"/>
      <c r="IUG34" s="41"/>
      <c r="IUR34" s="41"/>
      <c r="IVC34" s="41"/>
      <c r="IVN34" s="41"/>
      <c r="IVY34" s="41"/>
      <c r="IWJ34" s="41"/>
      <c r="IWU34" s="41"/>
      <c r="IXF34" s="41"/>
      <c r="IXQ34" s="41"/>
      <c r="IYB34" s="41"/>
      <c r="IYM34" s="41"/>
      <c r="IYX34" s="41"/>
      <c r="IZI34" s="41"/>
      <c r="IZT34" s="41"/>
      <c r="JAE34" s="41"/>
      <c r="JAP34" s="41"/>
      <c r="JBA34" s="41"/>
      <c r="JBL34" s="41"/>
      <c r="JBW34" s="41"/>
      <c r="JCH34" s="41"/>
      <c r="JCS34" s="41"/>
      <c r="JDD34" s="41"/>
      <c r="JDO34" s="41"/>
      <c r="JDZ34" s="41"/>
      <c r="JEK34" s="41"/>
      <c r="JEV34" s="41"/>
      <c r="JFG34" s="41"/>
      <c r="JFR34" s="41"/>
      <c r="JGC34" s="41"/>
      <c r="JGN34" s="41"/>
      <c r="JGY34" s="41"/>
      <c r="JHJ34" s="41"/>
      <c r="JHU34" s="41"/>
      <c r="JIF34" s="41"/>
      <c r="JIQ34" s="41"/>
      <c r="JJB34" s="41"/>
      <c r="JJM34" s="41"/>
      <c r="JJX34" s="41"/>
      <c r="JKI34" s="41"/>
      <c r="JKT34" s="41"/>
      <c r="JLE34" s="41"/>
      <c r="JLP34" s="41"/>
      <c r="JMA34" s="41"/>
      <c r="JML34" s="41"/>
      <c r="JMW34" s="41"/>
      <c r="JNH34" s="41"/>
      <c r="JNS34" s="41"/>
      <c r="JOD34" s="41"/>
      <c r="JOO34" s="41"/>
      <c r="JOZ34" s="41"/>
      <c r="JPK34" s="41"/>
      <c r="JPV34" s="41"/>
      <c r="JQG34" s="41"/>
      <c r="JQR34" s="41"/>
      <c r="JRC34" s="41"/>
      <c r="JRN34" s="41"/>
      <c r="JRY34" s="41"/>
      <c r="JSJ34" s="41"/>
      <c r="JSU34" s="41"/>
      <c r="JTF34" s="41"/>
      <c r="JTQ34" s="41"/>
      <c r="JUB34" s="41"/>
      <c r="JUM34" s="41"/>
      <c r="JUX34" s="41"/>
      <c r="JVI34" s="41"/>
      <c r="JVT34" s="41"/>
      <c r="JWE34" s="41"/>
      <c r="JWP34" s="41"/>
      <c r="JXA34" s="41"/>
      <c r="JXL34" s="41"/>
      <c r="JXW34" s="41"/>
      <c r="JYH34" s="41"/>
      <c r="JYS34" s="41"/>
      <c r="JZD34" s="41"/>
      <c r="JZO34" s="41"/>
      <c r="JZZ34" s="41"/>
      <c r="KAK34" s="41"/>
      <c r="KAV34" s="41"/>
      <c r="KBG34" s="41"/>
      <c r="KBR34" s="41"/>
      <c r="KCC34" s="41"/>
      <c r="KCN34" s="41"/>
      <c r="KCY34" s="41"/>
      <c r="KDJ34" s="41"/>
      <c r="KDU34" s="41"/>
      <c r="KEF34" s="41"/>
      <c r="KEQ34" s="41"/>
      <c r="KFB34" s="41"/>
      <c r="KFM34" s="41"/>
      <c r="KFX34" s="41"/>
      <c r="KGI34" s="41"/>
      <c r="KGT34" s="41"/>
      <c r="KHE34" s="41"/>
      <c r="KHP34" s="41"/>
      <c r="KIA34" s="41"/>
      <c r="KIL34" s="41"/>
      <c r="KIW34" s="41"/>
      <c r="KJH34" s="41"/>
      <c r="KJS34" s="41"/>
      <c r="KKD34" s="41"/>
      <c r="KKO34" s="41"/>
      <c r="KKZ34" s="41"/>
      <c r="KLK34" s="41"/>
      <c r="KLV34" s="41"/>
      <c r="KMG34" s="41"/>
      <c r="KMR34" s="41"/>
      <c r="KNC34" s="41"/>
      <c r="KNN34" s="41"/>
      <c r="KNY34" s="41"/>
      <c r="KOJ34" s="41"/>
      <c r="KOU34" s="41"/>
      <c r="KPF34" s="41"/>
      <c r="KPQ34" s="41"/>
      <c r="KQB34" s="41"/>
      <c r="KQM34" s="41"/>
      <c r="KQX34" s="41"/>
      <c r="KRI34" s="41"/>
      <c r="KRT34" s="41"/>
      <c r="KSE34" s="41"/>
      <c r="KSP34" s="41"/>
      <c r="KTA34" s="41"/>
      <c r="KTL34" s="41"/>
      <c r="KTW34" s="41"/>
      <c r="KUH34" s="41"/>
      <c r="KUS34" s="41"/>
      <c r="KVD34" s="41"/>
      <c r="KVO34" s="41"/>
      <c r="KVZ34" s="41"/>
      <c r="KWK34" s="41"/>
      <c r="KWV34" s="41"/>
      <c r="KXG34" s="41"/>
      <c r="KXR34" s="41"/>
      <c r="KYC34" s="41"/>
      <c r="KYN34" s="41"/>
      <c r="KYY34" s="41"/>
      <c r="KZJ34" s="41"/>
      <c r="KZU34" s="41"/>
      <c r="LAF34" s="41"/>
      <c r="LAQ34" s="41"/>
      <c r="LBB34" s="41"/>
      <c r="LBM34" s="41"/>
      <c r="LBX34" s="41"/>
      <c r="LCI34" s="41"/>
      <c r="LCT34" s="41"/>
      <c r="LDE34" s="41"/>
      <c r="LDP34" s="41"/>
      <c r="LEA34" s="41"/>
      <c r="LEL34" s="41"/>
      <c r="LEW34" s="41"/>
      <c r="LFH34" s="41"/>
      <c r="LFS34" s="41"/>
      <c r="LGD34" s="41"/>
      <c r="LGO34" s="41"/>
      <c r="LGZ34" s="41"/>
      <c r="LHK34" s="41"/>
      <c r="LHV34" s="41"/>
      <c r="LIG34" s="41"/>
      <c r="LIR34" s="41"/>
      <c r="LJC34" s="41"/>
      <c r="LJN34" s="41"/>
      <c r="LJY34" s="41"/>
      <c r="LKJ34" s="41"/>
      <c r="LKU34" s="41"/>
      <c r="LLF34" s="41"/>
      <c r="LLQ34" s="41"/>
      <c r="LMB34" s="41"/>
      <c r="LMM34" s="41"/>
      <c r="LMX34" s="41"/>
      <c r="LNI34" s="41"/>
      <c r="LNT34" s="41"/>
      <c r="LOE34" s="41"/>
      <c r="LOP34" s="41"/>
      <c r="LPA34" s="41"/>
      <c r="LPL34" s="41"/>
      <c r="LPW34" s="41"/>
      <c r="LQH34" s="41"/>
      <c r="LQS34" s="41"/>
      <c r="LRD34" s="41"/>
      <c r="LRO34" s="41"/>
      <c r="LRZ34" s="41"/>
      <c r="LSK34" s="41"/>
      <c r="LSV34" s="41"/>
      <c r="LTG34" s="41"/>
      <c r="LTR34" s="41"/>
      <c r="LUC34" s="41"/>
      <c r="LUN34" s="41"/>
      <c r="LUY34" s="41"/>
      <c r="LVJ34" s="41"/>
      <c r="LVU34" s="41"/>
      <c r="LWF34" s="41"/>
      <c r="LWQ34" s="41"/>
      <c r="LXB34" s="41"/>
      <c r="LXM34" s="41"/>
      <c r="LXX34" s="41"/>
      <c r="LYI34" s="41"/>
      <c r="LYT34" s="41"/>
      <c r="LZE34" s="41"/>
      <c r="LZP34" s="41"/>
      <c r="MAA34" s="41"/>
      <c r="MAL34" s="41"/>
      <c r="MAW34" s="41"/>
      <c r="MBH34" s="41"/>
      <c r="MBS34" s="41"/>
      <c r="MCD34" s="41"/>
      <c r="MCO34" s="41"/>
      <c r="MCZ34" s="41"/>
      <c r="MDK34" s="41"/>
      <c r="MDV34" s="41"/>
      <c r="MEG34" s="41"/>
      <c r="MER34" s="41"/>
      <c r="MFC34" s="41"/>
      <c r="MFN34" s="41"/>
      <c r="MFY34" s="41"/>
      <c r="MGJ34" s="41"/>
      <c r="MGU34" s="41"/>
      <c r="MHF34" s="41"/>
      <c r="MHQ34" s="41"/>
      <c r="MIB34" s="41"/>
      <c r="MIM34" s="41"/>
      <c r="MIX34" s="41"/>
      <c r="MJI34" s="41"/>
      <c r="MJT34" s="41"/>
      <c r="MKE34" s="41"/>
      <c r="MKP34" s="41"/>
      <c r="MLA34" s="41"/>
      <c r="MLL34" s="41"/>
      <c r="MLW34" s="41"/>
      <c r="MMH34" s="41"/>
      <c r="MMS34" s="41"/>
      <c r="MND34" s="41"/>
      <c r="MNO34" s="41"/>
      <c r="MNZ34" s="41"/>
      <c r="MOK34" s="41"/>
      <c r="MOV34" s="41"/>
      <c r="MPG34" s="41"/>
      <c r="MPR34" s="41"/>
      <c r="MQC34" s="41"/>
      <c r="MQN34" s="41"/>
      <c r="MQY34" s="41"/>
      <c r="MRJ34" s="41"/>
      <c r="MRU34" s="41"/>
      <c r="MSF34" s="41"/>
      <c r="MSQ34" s="41"/>
      <c r="MTB34" s="41"/>
      <c r="MTM34" s="41"/>
      <c r="MTX34" s="41"/>
      <c r="MUI34" s="41"/>
      <c r="MUT34" s="41"/>
      <c r="MVE34" s="41"/>
      <c r="MVP34" s="41"/>
      <c r="MWA34" s="41"/>
      <c r="MWL34" s="41"/>
      <c r="MWW34" s="41"/>
      <c r="MXH34" s="41"/>
      <c r="MXS34" s="41"/>
      <c r="MYD34" s="41"/>
      <c r="MYO34" s="41"/>
      <c r="MYZ34" s="41"/>
      <c r="MZK34" s="41"/>
      <c r="MZV34" s="41"/>
      <c r="NAG34" s="41"/>
      <c r="NAR34" s="41"/>
      <c r="NBC34" s="41"/>
      <c r="NBN34" s="41"/>
      <c r="NBY34" s="41"/>
      <c r="NCJ34" s="41"/>
      <c r="NCU34" s="41"/>
      <c r="NDF34" s="41"/>
      <c r="NDQ34" s="41"/>
      <c r="NEB34" s="41"/>
      <c r="NEM34" s="41"/>
      <c r="NEX34" s="41"/>
      <c r="NFI34" s="41"/>
      <c r="NFT34" s="41"/>
      <c r="NGE34" s="41"/>
      <c r="NGP34" s="41"/>
      <c r="NHA34" s="41"/>
      <c r="NHL34" s="41"/>
      <c r="NHW34" s="41"/>
      <c r="NIH34" s="41"/>
      <c r="NIS34" s="41"/>
      <c r="NJD34" s="41"/>
      <c r="NJO34" s="41"/>
      <c r="NJZ34" s="41"/>
      <c r="NKK34" s="41"/>
      <c r="NKV34" s="41"/>
      <c r="NLG34" s="41"/>
      <c r="NLR34" s="41"/>
      <c r="NMC34" s="41"/>
      <c r="NMN34" s="41"/>
      <c r="NMY34" s="41"/>
      <c r="NNJ34" s="41"/>
      <c r="NNU34" s="41"/>
      <c r="NOF34" s="41"/>
      <c r="NOQ34" s="41"/>
      <c r="NPB34" s="41"/>
      <c r="NPM34" s="41"/>
      <c r="NPX34" s="41"/>
      <c r="NQI34" s="41"/>
      <c r="NQT34" s="41"/>
      <c r="NRE34" s="41"/>
      <c r="NRP34" s="41"/>
      <c r="NSA34" s="41"/>
      <c r="NSL34" s="41"/>
      <c r="NSW34" s="41"/>
      <c r="NTH34" s="41"/>
      <c r="NTS34" s="41"/>
      <c r="NUD34" s="41"/>
      <c r="NUO34" s="41"/>
      <c r="NUZ34" s="41"/>
      <c r="NVK34" s="41"/>
      <c r="NVV34" s="41"/>
      <c r="NWG34" s="41"/>
      <c r="NWR34" s="41"/>
      <c r="NXC34" s="41"/>
      <c r="NXN34" s="41"/>
      <c r="NXY34" s="41"/>
      <c r="NYJ34" s="41"/>
      <c r="NYU34" s="41"/>
      <c r="NZF34" s="41"/>
      <c r="NZQ34" s="41"/>
      <c r="OAB34" s="41"/>
      <c r="OAM34" s="41"/>
      <c r="OAX34" s="41"/>
      <c r="OBI34" s="41"/>
      <c r="OBT34" s="41"/>
      <c r="OCE34" s="41"/>
      <c r="OCP34" s="41"/>
      <c r="ODA34" s="41"/>
      <c r="ODL34" s="41"/>
      <c r="ODW34" s="41"/>
      <c r="OEH34" s="41"/>
      <c r="OES34" s="41"/>
      <c r="OFD34" s="41"/>
      <c r="OFO34" s="41"/>
      <c r="OFZ34" s="41"/>
      <c r="OGK34" s="41"/>
      <c r="OGV34" s="41"/>
      <c r="OHG34" s="41"/>
      <c r="OHR34" s="41"/>
      <c r="OIC34" s="41"/>
      <c r="OIN34" s="41"/>
      <c r="OIY34" s="41"/>
      <c r="OJJ34" s="41"/>
      <c r="OJU34" s="41"/>
      <c r="OKF34" s="41"/>
      <c r="OKQ34" s="41"/>
      <c r="OLB34" s="41"/>
      <c r="OLM34" s="41"/>
      <c r="OLX34" s="41"/>
      <c r="OMI34" s="41"/>
      <c r="OMT34" s="41"/>
      <c r="ONE34" s="41"/>
      <c r="ONP34" s="41"/>
      <c r="OOA34" s="41"/>
      <c r="OOL34" s="41"/>
      <c r="OOW34" s="41"/>
      <c r="OPH34" s="41"/>
      <c r="OPS34" s="41"/>
      <c r="OQD34" s="41"/>
      <c r="OQO34" s="41"/>
      <c r="OQZ34" s="41"/>
      <c r="ORK34" s="41"/>
      <c r="ORV34" s="41"/>
      <c r="OSG34" s="41"/>
      <c r="OSR34" s="41"/>
      <c r="OTC34" s="41"/>
      <c r="OTN34" s="41"/>
      <c r="OTY34" s="41"/>
      <c r="OUJ34" s="41"/>
      <c r="OUU34" s="41"/>
      <c r="OVF34" s="41"/>
      <c r="OVQ34" s="41"/>
      <c r="OWB34" s="41"/>
      <c r="OWM34" s="41"/>
      <c r="OWX34" s="41"/>
      <c r="OXI34" s="41"/>
      <c r="OXT34" s="41"/>
      <c r="OYE34" s="41"/>
      <c r="OYP34" s="41"/>
      <c r="OZA34" s="41"/>
      <c r="OZL34" s="41"/>
      <c r="OZW34" s="41"/>
      <c r="PAH34" s="41"/>
      <c r="PAS34" s="41"/>
      <c r="PBD34" s="41"/>
      <c r="PBO34" s="41"/>
      <c r="PBZ34" s="41"/>
      <c r="PCK34" s="41"/>
      <c r="PCV34" s="41"/>
      <c r="PDG34" s="41"/>
      <c r="PDR34" s="41"/>
      <c r="PEC34" s="41"/>
      <c r="PEN34" s="41"/>
      <c r="PEY34" s="41"/>
      <c r="PFJ34" s="41"/>
      <c r="PFU34" s="41"/>
      <c r="PGF34" s="41"/>
      <c r="PGQ34" s="41"/>
      <c r="PHB34" s="41"/>
      <c r="PHM34" s="41"/>
      <c r="PHX34" s="41"/>
      <c r="PII34" s="41"/>
      <c r="PIT34" s="41"/>
      <c r="PJE34" s="41"/>
      <c r="PJP34" s="41"/>
      <c r="PKA34" s="41"/>
      <c r="PKL34" s="41"/>
      <c r="PKW34" s="41"/>
      <c r="PLH34" s="41"/>
      <c r="PLS34" s="41"/>
      <c r="PMD34" s="41"/>
      <c r="PMO34" s="41"/>
      <c r="PMZ34" s="41"/>
      <c r="PNK34" s="41"/>
      <c r="PNV34" s="41"/>
      <c r="POG34" s="41"/>
      <c r="POR34" s="41"/>
      <c r="PPC34" s="41"/>
      <c r="PPN34" s="41"/>
      <c r="PPY34" s="41"/>
      <c r="PQJ34" s="41"/>
      <c r="PQU34" s="41"/>
      <c r="PRF34" s="41"/>
      <c r="PRQ34" s="41"/>
      <c r="PSB34" s="41"/>
      <c r="PSM34" s="41"/>
      <c r="PSX34" s="41"/>
      <c r="PTI34" s="41"/>
      <c r="PTT34" s="41"/>
      <c r="PUE34" s="41"/>
      <c r="PUP34" s="41"/>
      <c r="PVA34" s="41"/>
      <c r="PVL34" s="41"/>
      <c r="PVW34" s="41"/>
      <c r="PWH34" s="41"/>
      <c r="PWS34" s="41"/>
      <c r="PXD34" s="41"/>
      <c r="PXO34" s="41"/>
      <c r="PXZ34" s="41"/>
      <c r="PYK34" s="41"/>
      <c r="PYV34" s="41"/>
      <c r="PZG34" s="41"/>
      <c r="PZR34" s="41"/>
      <c r="QAC34" s="41"/>
      <c r="QAN34" s="41"/>
      <c r="QAY34" s="41"/>
      <c r="QBJ34" s="41"/>
      <c r="QBU34" s="41"/>
      <c r="QCF34" s="41"/>
      <c r="QCQ34" s="41"/>
      <c r="QDB34" s="41"/>
      <c r="QDM34" s="41"/>
      <c r="QDX34" s="41"/>
      <c r="QEI34" s="41"/>
      <c r="QET34" s="41"/>
      <c r="QFE34" s="41"/>
      <c r="QFP34" s="41"/>
      <c r="QGA34" s="41"/>
      <c r="QGL34" s="41"/>
      <c r="QGW34" s="41"/>
      <c r="QHH34" s="41"/>
      <c r="QHS34" s="41"/>
      <c r="QID34" s="41"/>
      <c r="QIO34" s="41"/>
      <c r="QIZ34" s="41"/>
      <c r="QJK34" s="41"/>
      <c r="QJV34" s="41"/>
      <c r="QKG34" s="41"/>
      <c r="QKR34" s="41"/>
      <c r="QLC34" s="41"/>
      <c r="QLN34" s="41"/>
      <c r="QLY34" s="41"/>
      <c r="QMJ34" s="41"/>
      <c r="QMU34" s="41"/>
      <c r="QNF34" s="41"/>
      <c r="QNQ34" s="41"/>
      <c r="QOB34" s="41"/>
      <c r="QOM34" s="41"/>
      <c r="QOX34" s="41"/>
      <c r="QPI34" s="41"/>
      <c r="QPT34" s="41"/>
      <c r="QQE34" s="41"/>
      <c r="QQP34" s="41"/>
      <c r="QRA34" s="41"/>
      <c r="QRL34" s="41"/>
      <c r="QRW34" s="41"/>
      <c r="QSH34" s="41"/>
      <c r="QSS34" s="41"/>
      <c r="QTD34" s="41"/>
      <c r="QTO34" s="41"/>
      <c r="QTZ34" s="41"/>
      <c r="QUK34" s="41"/>
      <c r="QUV34" s="41"/>
      <c r="QVG34" s="41"/>
      <c r="QVR34" s="41"/>
      <c r="QWC34" s="41"/>
      <c r="QWN34" s="41"/>
      <c r="QWY34" s="41"/>
      <c r="QXJ34" s="41"/>
      <c r="QXU34" s="41"/>
      <c r="QYF34" s="41"/>
      <c r="QYQ34" s="41"/>
      <c r="QZB34" s="41"/>
      <c r="QZM34" s="41"/>
      <c r="QZX34" s="41"/>
      <c r="RAI34" s="41"/>
      <c r="RAT34" s="41"/>
      <c r="RBE34" s="41"/>
      <c r="RBP34" s="41"/>
      <c r="RCA34" s="41"/>
      <c r="RCL34" s="41"/>
      <c r="RCW34" s="41"/>
      <c r="RDH34" s="41"/>
      <c r="RDS34" s="41"/>
      <c r="RED34" s="41"/>
      <c r="REO34" s="41"/>
      <c r="REZ34" s="41"/>
      <c r="RFK34" s="41"/>
      <c r="RFV34" s="41"/>
      <c r="RGG34" s="41"/>
      <c r="RGR34" s="41"/>
      <c r="RHC34" s="41"/>
      <c r="RHN34" s="41"/>
      <c r="RHY34" s="41"/>
      <c r="RIJ34" s="41"/>
      <c r="RIU34" s="41"/>
      <c r="RJF34" s="41"/>
      <c r="RJQ34" s="41"/>
      <c r="RKB34" s="41"/>
      <c r="RKM34" s="41"/>
      <c r="RKX34" s="41"/>
      <c r="RLI34" s="41"/>
      <c r="RLT34" s="41"/>
      <c r="RME34" s="41"/>
      <c r="RMP34" s="41"/>
      <c r="RNA34" s="41"/>
      <c r="RNL34" s="41"/>
      <c r="RNW34" s="41"/>
      <c r="ROH34" s="41"/>
      <c r="ROS34" s="41"/>
      <c r="RPD34" s="41"/>
      <c r="RPO34" s="41"/>
      <c r="RPZ34" s="41"/>
      <c r="RQK34" s="41"/>
      <c r="RQV34" s="41"/>
      <c r="RRG34" s="41"/>
      <c r="RRR34" s="41"/>
      <c r="RSC34" s="41"/>
      <c r="RSN34" s="41"/>
      <c r="RSY34" s="41"/>
      <c r="RTJ34" s="41"/>
      <c r="RTU34" s="41"/>
      <c r="RUF34" s="41"/>
      <c r="RUQ34" s="41"/>
      <c r="RVB34" s="41"/>
      <c r="RVM34" s="41"/>
      <c r="RVX34" s="41"/>
      <c r="RWI34" s="41"/>
      <c r="RWT34" s="41"/>
      <c r="RXE34" s="41"/>
      <c r="RXP34" s="41"/>
      <c r="RYA34" s="41"/>
      <c r="RYL34" s="41"/>
      <c r="RYW34" s="41"/>
      <c r="RZH34" s="41"/>
      <c r="RZS34" s="41"/>
      <c r="SAD34" s="41"/>
      <c r="SAO34" s="41"/>
      <c r="SAZ34" s="41"/>
      <c r="SBK34" s="41"/>
      <c r="SBV34" s="41"/>
      <c r="SCG34" s="41"/>
      <c r="SCR34" s="41"/>
      <c r="SDC34" s="41"/>
      <c r="SDN34" s="41"/>
      <c r="SDY34" s="41"/>
      <c r="SEJ34" s="41"/>
      <c r="SEU34" s="41"/>
      <c r="SFF34" s="41"/>
      <c r="SFQ34" s="41"/>
      <c r="SGB34" s="41"/>
      <c r="SGM34" s="41"/>
      <c r="SGX34" s="41"/>
      <c r="SHI34" s="41"/>
      <c r="SHT34" s="41"/>
      <c r="SIE34" s="41"/>
      <c r="SIP34" s="41"/>
      <c r="SJA34" s="41"/>
      <c r="SJL34" s="41"/>
      <c r="SJW34" s="41"/>
      <c r="SKH34" s="41"/>
      <c r="SKS34" s="41"/>
      <c r="SLD34" s="41"/>
      <c r="SLO34" s="41"/>
      <c r="SLZ34" s="41"/>
      <c r="SMK34" s="41"/>
      <c r="SMV34" s="41"/>
      <c r="SNG34" s="41"/>
      <c r="SNR34" s="41"/>
      <c r="SOC34" s="41"/>
      <c r="SON34" s="41"/>
      <c r="SOY34" s="41"/>
      <c r="SPJ34" s="41"/>
      <c r="SPU34" s="41"/>
      <c r="SQF34" s="41"/>
      <c r="SQQ34" s="41"/>
      <c r="SRB34" s="41"/>
      <c r="SRM34" s="41"/>
      <c r="SRX34" s="41"/>
      <c r="SSI34" s="41"/>
      <c r="SST34" s="41"/>
      <c r="STE34" s="41"/>
      <c r="STP34" s="41"/>
      <c r="SUA34" s="41"/>
      <c r="SUL34" s="41"/>
      <c r="SUW34" s="41"/>
      <c r="SVH34" s="41"/>
      <c r="SVS34" s="41"/>
      <c r="SWD34" s="41"/>
      <c r="SWO34" s="41"/>
      <c r="SWZ34" s="41"/>
      <c r="SXK34" s="41"/>
      <c r="SXV34" s="41"/>
      <c r="SYG34" s="41"/>
      <c r="SYR34" s="41"/>
      <c r="SZC34" s="41"/>
      <c r="SZN34" s="41"/>
      <c r="SZY34" s="41"/>
      <c r="TAJ34" s="41"/>
      <c r="TAU34" s="41"/>
      <c r="TBF34" s="41"/>
      <c r="TBQ34" s="41"/>
      <c r="TCB34" s="41"/>
      <c r="TCM34" s="41"/>
      <c r="TCX34" s="41"/>
      <c r="TDI34" s="41"/>
      <c r="TDT34" s="41"/>
      <c r="TEE34" s="41"/>
      <c r="TEP34" s="41"/>
      <c r="TFA34" s="41"/>
      <c r="TFL34" s="41"/>
      <c r="TFW34" s="41"/>
      <c r="TGH34" s="41"/>
      <c r="TGS34" s="41"/>
      <c r="THD34" s="41"/>
      <c r="THO34" s="41"/>
      <c r="THZ34" s="41"/>
      <c r="TIK34" s="41"/>
      <c r="TIV34" s="41"/>
      <c r="TJG34" s="41"/>
      <c r="TJR34" s="41"/>
      <c r="TKC34" s="41"/>
      <c r="TKN34" s="41"/>
      <c r="TKY34" s="41"/>
      <c r="TLJ34" s="41"/>
      <c r="TLU34" s="41"/>
      <c r="TMF34" s="41"/>
      <c r="TMQ34" s="41"/>
      <c r="TNB34" s="41"/>
      <c r="TNM34" s="41"/>
      <c r="TNX34" s="41"/>
      <c r="TOI34" s="41"/>
      <c r="TOT34" s="41"/>
      <c r="TPE34" s="41"/>
      <c r="TPP34" s="41"/>
      <c r="TQA34" s="41"/>
      <c r="TQL34" s="41"/>
      <c r="TQW34" s="41"/>
      <c r="TRH34" s="41"/>
      <c r="TRS34" s="41"/>
      <c r="TSD34" s="41"/>
      <c r="TSO34" s="41"/>
      <c r="TSZ34" s="41"/>
      <c r="TTK34" s="41"/>
      <c r="TTV34" s="41"/>
      <c r="TUG34" s="41"/>
      <c r="TUR34" s="41"/>
      <c r="TVC34" s="41"/>
      <c r="TVN34" s="41"/>
      <c r="TVY34" s="41"/>
      <c r="TWJ34" s="41"/>
      <c r="TWU34" s="41"/>
      <c r="TXF34" s="41"/>
      <c r="TXQ34" s="41"/>
      <c r="TYB34" s="41"/>
      <c r="TYM34" s="41"/>
      <c r="TYX34" s="41"/>
      <c r="TZI34" s="41"/>
      <c r="TZT34" s="41"/>
      <c r="UAE34" s="41"/>
      <c r="UAP34" s="41"/>
      <c r="UBA34" s="41"/>
      <c r="UBL34" s="41"/>
      <c r="UBW34" s="41"/>
      <c r="UCH34" s="41"/>
      <c r="UCS34" s="41"/>
      <c r="UDD34" s="41"/>
      <c r="UDO34" s="41"/>
      <c r="UDZ34" s="41"/>
      <c r="UEK34" s="41"/>
      <c r="UEV34" s="41"/>
      <c r="UFG34" s="41"/>
      <c r="UFR34" s="41"/>
      <c r="UGC34" s="41"/>
      <c r="UGN34" s="41"/>
      <c r="UGY34" s="41"/>
      <c r="UHJ34" s="41"/>
      <c r="UHU34" s="41"/>
      <c r="UIF34" s="41"/>
      <c r="UIQ34" s="41"/>
      <c r="UJB34" s="41"/>
      <c r="UJM34" s="41"/>
      <c r="UJX34" s="41"/>
      <c r="UKI34" s="41"/>
      <c r="UKT34" s="41"/>
      <c r="ULE34" s="41"/>
      <c r="ULP34" s="41"/>
      <c r="UMA34" s="41"/>
      <c r="UML34" s="41"/>
      <c r="UMW34" s="41"/>
      <c r="UNH34" s="41"/>
      <c r="UNS34" s="41"/>
      <c r="UOD34" s="41"/>
      <c r="UOO34" s="41"/>
      <c r="UOZ34" s="41"/>
      <c r="UPK34" s="41"/>
      <c r="UPV34" s="41"/>
      <c r="UQG34" s="41"/>
      <c r="UQR34" s="41"/>
      <c r="URC34" s="41"/>
      <c r="URN34" s="41"/>
      <c r="URY34" s="41"/>
      <c r="USJ34" s="41"/>
      <c r="USU34" s="41"/>
      <c r="UTF34" s="41"/>
      <c r="UTQ34" s="41"/>
      <c r="UUB34" s="41"/>
      <c r="UUM34" s="41"/>
      <c r="UUX34" s="41"/>
      <c r="UVI34" s="41"/>
      <c r="UVT34" s="41"/>
      <c r="UWE34" s="41"/>
      <c r="UWP34" s="41"/>
      <c r="UXA34" s="41"/>
      <c r="UXL34" s="41"/>
      <c r="UXW34" s="41"/>
      <c r="UYH34" s="41"/>
      <c r="UYS34" s="41"/>
      <c r="UZD34" s="41"/>
      <c r="UZO34" s="41"/>
      <c r="UZZ34" s="41"/>
      <c r="VAK34" s="41"/>
      <c r="VAV34" s="41"/>
      <c r="VBG34" s="41"/>
      <c r="VBR34" s="41"/>
      <c r="VCC34" s="41"/>
      <c r="VCN34" s="41"/>
      <c r="VCY34" s="41"/>
      <c r="VDJ34" s="41"/>
      <c r="VDU34" s="41"/>
      <c r="VEF34" s="41"/>
      <c r="VEQ34" s="41"/>
      <c r="VFB34" s="41"/>
      <c r="VFM34" s="41"/>
      <c r="VFX34" s="41"/>
      <c r="VGI34" s="41"/>
      <c r="VGT34" s="41"/>
      <c r="VHE34" s="41"/>
      <c r="VHP34" s="41"/>
      <c r="VIA34" s="41"/>
      <c r="VIL34" s="41"/>
      <c r="VIW34" s="41"/>
      <c r="VJH34" s="41"/>
      <c r="VJS34" s="41"/>
      <c r="VKD34" s="41"/>
      <c r="VKO34" s="41"/>
      <c r="VKZ34" s="41"/>
      <c r="VLK34" s="41"/>
      <c r="VLV34" s="41"/>
      <c r="VMG34" s="41"/>
      <c r="VMR34" s="41"/>
      <c r="VNC34" s="41"/>
      <c r="VNN34" s="41"/>
      <c r="VNY34" s="41"/>
      <c r="VOJ34" s="41"/>
      <c r="VOU34" s="41"/>
      <c r="VPF34" s="41"/>
      <c r="VPQ34" s="41"/>
      <c r="VQB34" s="41"/>
      <c r="VQM34" s="41"/>
      <c r="VQX34" s="41"/>
      <c r="VRI34" s="41"/>
      <c r="VRT34" s="41"/>
      <c r="VSE34" s="41"/>
      <c r="VSP34" s="41"/>
      <c r="VTA34" s="41"/>
      <c r="VTL34" s="41"/>
      <c r="VTW34" s="41"/>
      <c r="VUH34" s="41"/>
      <c r="VUS34" s="41"/>
      <c r="VVD34" s="41"/>
      <c r="VVO34" s="41"/>
      <c r="VVZ34" s="41"/>
      <c r="VWK34" s="41"/>
      <c r="VWV34" s="41"/>
      <c r="VXG34" s="41"/>
      <c r="VXR34" s="41"/>
      <c r="VYC34" s="41"/>
      <c r="VYN34" s="41"/>
      <c r="VYY34" s="41"/>
      <c r="VZJ34" s="41"/>
      <c r="VZU34" s="41"/>
      <c r="WAF34" s="41"/>
      <c r="WAQ34" s="41"/>
      <c r="WBB34" s="41"/>
      <c r="WBM34" s="41"/>
      <c r="WBX34" s="41"/>
      <c r="WCI34" s="41"/>
      <c r="WCT34" s="41"/>
      <c r="WDE34" s="41"/>
      <c r="WDP34" s="41"/>
      <c r="WEA34" s="41"/>
      <c r="WEL34" s="41"/>
      <c r="WEW34" s="41"/>
      <c r="WFH34" s="41"/>
      <c r="WFS34" s="41"/>
      <c r="WGD34" s="41"/>
      <c r="WGO34" s="41"/>
      <c r="WGZ34" s="41"/>
      <c r="WHK34" s="41"/>
      <c r="WHV34" s="41"/>
      <c r="WIG34" s="41"/>
      <c r="WIR34" s="41"/>
      <c r="WJC34" s="41"/>
      <c r="WJN34" s="41"/>
      <c r="WJY34" s="41"/>
      <c r="WKJ34" s="41"/>
      <c r="WKU34" s="41"/>
      <c r="WLF34" s="41"/>
      <c r="WLQ34" s="41"/>
      <c r="WMB34" s="41"/>
      <c r="WMM34" s="41"/>
      <c r="WMX34" s="41"/>
      <c r="WNI34" s="41"/>
      <c r="WNT34" s="41"/>
      <c r="WOE34" s="41"/>
      <c r="WOP34" s="41"/>
      <c r="WPA34" s="41"/>
      <c r="WPL34" s="41"/>
      <c r="WPW34" s="41"/>
      <c r="WQH34" s="41"/>
      <c r="WQS34" s="41"/>
      <c r="WRD34" s="41"/>
      <c r="WRO34" s="41"/>
      <c r="WRZ34" s="41"/>
      <c r="WSK34" s="41"/>
      <c r="WSV34" s="41"/>
      <c r="WTG34" s="41"/>
      <c r="WTR34" s="41"/>
      <c r="WUC34" s="41"/>
      <c r="WUN34" s="41"/>
      <c r="WUY34" s="41"/>
      <c r="WVJ34" s="41"/>
      <c r="WVU34" s="41"/>
      <c r="WWF34" s="41"/>
      <c r="WWQ34" s="41"/>
      <c r="WXB34" s="41"/>
      <c r="WXM34" s="41"/>
      <c r="WXX34" s="41"/>
      <c r="WYI34" s="41"/>
      <c r="WYT34" s="41"/>
      <c r="WZE34" s="41"/>
      <c r="WZP34" s="41"/>
      <c r="XAA34" s="41"/>
      <c r="XAL34" s="41"/>
      <c r="XAW34" s="41"/>
      <c r="XBH34" s="41"/>
      <c r="XBS34" s="41"/>
      <c r="XCD34" s="41"/>
      <c r="XCO34" s="41"/>
      <c r="XCZ34" s="41"/>
      <c r="XDK34" s="41"/>
      <c r="XDV34" s="41"/>
      <c r="XEG34" s="41"/>
      <c r="XER34" s="41"/>
      <c r="XFC34" s="41"/>
    </row>
    <row r="35" spans="4:1016 1027:2039 2050:3062 3073:4096 4107:5119 5130:6142 6153:7165 7176:8188 8199:9211 9222:10234 10245:11257 11268:12280 12291:13303 13314:14326 14337:15360 15371:16383" s="40" customFormat="1" ht="17.25" customHeight="1">
      <c r="D35" s="40" t="s">
        <v>393</v>
      </c>
      <c r="F35" s="41"/>
      <c r="G35" s="209" t="s">
        <v>391</v>
      </c>
      <c r="H35" s="210"/>
      <c r="I35" s="211"/>
      <c r="P35" s="221"/>
      <c r="Q35" s="221"/>
      <c r="R35" s="221"/>
      <c r="S35" s="221"/>
      <c r="T35" s="221"/>
      <c r="U35" s="204"/>
      <c r="V35" s="204"/>
      <c r="W35" s="204"/>
      <c r="X35" s="204"/>
      <c r="Y35" s="204"/>
      <c r="Z35" s="204"/>
      <c r="AK35" s="41"/>
      <c r="AV35" s="41"/>
      <c r="BG35" s="41"/>
      <c r="BR35" s="41"/>
      <c r="CC35" s="41"/>
      <c r="CN35" s="41"/>
      <c r="CY35" s="41"/>
      <c r="DJ35" s="41"/>
      <c r="DU35" s="41"/>
      <c r="EF35" s="41"/>
      <c r="EQ35" s="41"/>
      <c r="FB35" s="41"/>
      <c r="FM35" s="41"/>
      <c r="FX35" s="41"/>
      <c r="GI35" s="41"/>
      <c r="GT35" s="41"/>
      <c r="HE35" s="41"/>
      <c r="HP35" s="41"/>
      <c r="IA35" s="41"/>
      <c r="IL35" s="41"/>
      <c r="IW35" s="41"/>
      <c r="JH35" s="41"/>
      <c r="JS35" s="41"/>
      <c r="KD35" s="41"/>
      <c r="KO35" s="41"/>
      <c r="KZ35" s="41"/>
      <c r="LK35" s="41"/>
      <c r="LV35" s="41"/>
      <c r="MG35" s="41"/>
      <c r="MR35" s="41"/>
      <c r="NC35" s="41"/>
      <c r="NN35" s="41"/>
      <c r="NY35" s="41"/>
      <c r="OJ35" s="41"/>
      <c r="OU35" s="41"/>
      <c r="PF35" s="41"/>
      <c r="PQ35" s="41"/>
      <c r="QB35" s="41"/>
      <c r="QM35" s="41"/>
      <c r="QX35" s="41"/>
      <c r="RI35" s="41"/>
      <c r="RT35" s="41"/>
      <c r="SE35" s="41"/>
      <c r="SP35" s="41"/>
      <c r="TA35" s="41"/>
      <c r="TL35" s="41"/>
      <c r="TW35" s="41"/>
      <c r="UH35" s="41"/>
      <c r="US35" s="41"/>
      <c r="VD35" s="41"/>
      <c r="VO35" s="41"/>
      <c r="VZ35" s="41"/>
      <c r="WK35" s="41"/>
      <c r="WV35" s="41"/>
      <c r="XG35" s="41"/>
      <c r="XR35" s="41"/>
      <c r="YC35" s="41"/>
      <c r="YN35" s="41"/>
      <c r="YY35" s="41"/>
      <c r="ZJ35" s="41"/>
      <c r="ZU35" s="41"/>
      <c r="AAF35" s="41"/>
      <c r="AAQ35" s="41"/>
      <c r="ABB35" s="41"/>
      <c r="ABM35" s="41"/>
      <c r="ABX35" s="41"/>
      <c r="ACI35" s="41"/>
      <c r="ACT35" s="41"/>
      <c r="ADE35" s="41"/>
      <c r="ADP35" s="41"/>
      <c r="AEA35" s="41"/>
      <c r="AEL35" s="41"/>
      <c r="AEW35" s="41"/>
      <c r="AFH35" s="41"/>
      <c r="AFS35" s="41"/>
      <c r="AGD35" s="41"/>
      <c r="AGO35" s="41"/>
      <c r="AGZ35" s="41"/>
      <c r="AHK35" s="41"/>
      <c r="AHV35" s="41"/>
      <c r="AIG35" s="41"/>
      <c r="AIR35" s="41"/>
      <c r="AJC35" s="41"/>
      <c r="AJN35" s="41"/>
      <c r="AJY35" s="41"/>
      <c r="AKJ35" s="41"/>
      <c r="AKU35" s="41"/>
      <c r="ALF35" s="41"/>
      <c r="ALQ35" s="41"/>
      <c r="AMB35" s="41"/>
      <c r="AMM35" s="41"/>
      <c r="AMX35" s="41"/>
      <c r="ANI35" s="41"/>
      <c r="ANT35" s="41"/>
      <c r="AOE35" s="41"/>
      <c r="AOP35" s="41"/>
      <c r="APA35" s="41"/>
      <c r="APL35" s="41"/>
      <c r="APW35" s="41"/>
      <c r="AQH35" s="41"/>
      <c r="AQS35" s="41"/>
      <c r="ARD35" s="41"/>
      <c r="ARO35" s="41"/>
      <c r="ARZ35" s="41"/>
      <c r="ASK35" s="41"/>
      <c r="ASV35" s="41"/>
      <c r="ATG35" s="41"/>
      <c r="ATR35" s="41"/>
      <c r="AUC35" s="41"/>
      <c r="AUN35" s="41"/>
      <c r="AUY35" s="41"/>
      <c r="AVJ35" s="41"/>
      <c r="AVU35" s="41"/>
      <c r="AWF35" s="41"/>
      <c r="AWQ35" s="41"/>
      <c r="AXB35" s="41"/>
      <c r="AXM35" s="41"/>
      <c r="AXX35" s="41"/>
      <c r="AYI35" s="41"/>
      <c r="AYT35" s="41"/>
      <c r="AZE35" s="41"/>
      <c r="AZP35" s="41"/>
      <c r="BAA35" s="41"/>
      <c r="BAL35" s="41"/>
      <c r="BAW35" s="41"/>
      <c r="BBH35" s="41"/>
      <c r="BBS35" s="41"/>
      <c r="BCD35" s="41"/>
      <c r="BCO35" s="41"/>
      <c r="BCZ35" s="41"/>
      <c r="BDK35" s="41"/>
      <c r="BDV35" s="41"/>
      <c r="BEG35" s="41"/>
      <c r="BER35" s="41"/>
      <c r="BFC35" s="41"/>
      <c r="BFN35" s="41"/>
      <c r="BFY35" s="41"/>
      <c r="BGJ35" s="41"/>
      <c r="BGU35" s="41"/>
      <c r="BHF35" s="41"/>
      <c r="BHQ35" s="41"/>
      <c r="BIB35" s="41"/>
      <c r="BIM35" s="41"/>
      <c r="BIX35" s="41"/>
      <c r="BJI35" s="41"/>
      <c r="BJT35" s="41"/>
      <c r="BKE35" s="41"/>
      <c r="BKP35" s="41"/>
      <c r="BLA35" s="41"/>
      <c r="BLL35" s="41"/>
      <c r="BLW35" s="41"/>
      <c r="BMH35" s="41"/>
      <c r="BMS35" s="41"/>
      <c r="BND35" s="41"/>
      <c r="BNO35" s="41"/>
      <c r="BNZ35" s="41"/>
      <c r="BOK35" s="41"/>
      <c r="BOV35" s="41"/>
      <c r="BPG35" s="41"/>
      <c r="BPR35" s="41"/>
      <c r="BQC35" s="41"/>
      <c r="BQN35" s="41"/>
      <c r="BQY35" s="41"/>
      <c r="BRJ35" s="41"/>
      <c r="BRU35" s="41"/>
      <c r="BSF35" s="41"/>
      <c r="BSQ35" s="41"/>
      <c r="BTB35" s="41"/>
      <c r="BTM35" s="41"/>
      <c r="BTX35" s="41"/>
      <c r="BUI35" s="41"/>
      <c r="BUT35" s="41"/>
      <c r="BVE35" s="41"/>
      <c r="BVP35" s="41"/>
      <c r="BWA35" s="41"/>
      <c r="BWL35" s="41"/>
      <c r="BWW35" s="41"/>
      <c r="BXH35" s="41"/>
      <c r="BXS35" s="41"/>
      <c r="BYD35" s="41"/>
      <c r="BYO35" s="41"/>
      <c r="BYZ35" s="41"/>
      <c r="BZK35" s="41"/>
      <c r="BZV35" s="41"/>
      <c r="CAG35" s="41"/>
      <c r="CAR35" s="41"/>
      <c r="CBC35" s="41"/>
      <c r="CBN35" s="41"/>
      <c r="CBY35" s="41"/>
      <c r="CCJ35" s="41"/>
      <c r="CCU35" s="41"/>
      <c r="CDF35" s="41"/>
      <c r="CDQ35" s="41"/>
      <c r="CEB35" s="41"/>
      <c r="CEM35" s="41"/>
      <c r="CEX35" s="41"/>
      <c r="CFI35" s="41"/>
      <c r="CFT35" s="41"/>
      <c r="CGE35" s="41"/>
      <c r="CGP35" s="41"/>
      <c r="CHA35" s="41"/>
      <c r="CHL35" s="41"/>
      <c r="CHW35" s="41"/>
      <c r="CIH35" s="41"/>
      <c r="CIS35" s="41"/>
      <c r="CJD35" s="41"/>
      <c r="CJO35" s="41"/>
      <c r="CJZ35" s="41"/>
      <c r="CKK35" s="41"/>
      <c r="CKV35" s="41"/>
      <c r="CLG35" s="41"/>
      <c r="CLR35" s="41"/>
      <c r="CMC35" s="41"/>
      <c r="CMN35" s="41"/>
      <c r="CMY35" s="41"/>
      <c r="CNJ35" s="41"/>
      <c r="CNU35" s="41"/>
      <c r="COF35" s="41"/>
      <c r="COQ35" s="41"/>
      <c r="CPB35" s="41"/>
      <c r="CPM35" s="41"/>
      <c r="CPX35" s="41"/>
      <c r="CQI35" s="41"/>
      <c r="CQT35" s="41"/>
      <c r="CRE35" s="41"/>
      <c r="CRP35" s="41"/>
      <c r="CSA35" s="41"/>
      <c r="CSL35" s="41"/>
      <c r="CSW35" s="41"/>
      <c r="CTH35" s="41"/>
      <c r="CTS35" s="41"/>
      <c r="CUD35" s="41"/>
      <c r="CUO35" s="41"/>
      <c r="CUZ35" s="41"/>
      <c r="CVK35" s="41"/>
      <c r="CVV35" s="41"/>
      <c r="CWG35" s="41"/>
      <c r="CWR35" s="41"/>
      <c r="CXC35" s="41"/>
      <c r="CXN35" s="41"/>
      <c r="CXY35" s="41"/>
      <c r="CYJ35" s="41"/>
      <c r="CYU35" s="41"/>
      <c r="CZF35" s="41"/>
      <c r="CZQ35" s="41"/>
      <c r="DAB35" s="41"/>
      <c r="DAM35" s="41"/>
      <c r="DAX35" s="41"/>
      <c r="DBI35" s="41"/>
      <c r="DBT35" s="41"/>
      <c r="DCE35" s="41"/>
      <c r="DCP35" s="41"/>
      <c r="DDA35" s="41"/>
      <c r="DDL35" s="41"/>
      <c r="DDW35" s="41"/>
      <c r="DEH35" s="41"/>
      <c r="DES35" s="41"/>
      <c r="DFD35" s="41"/>
      <c r="DFO35" s="41"/>
      <c r="DFZ35" s="41"/>
      <c r="DGK35" s="41"/>
      <c r="DGV35" s="41"/>
      <c r="DHG35" s="41"/>
      <c r="DHR35" s="41"/>
      <c r="DIC35" s="41"/>
      <c r="DIN35" s="41"/>
      <c r="DIY35" s="41"/>
      <c r="DJJ35" s="41"/>
      <c r="DJU35" s="41"/>
      <c r="DKF35" s="41"/>
      <c r="DKQ35" s="41"/>
      <c r="DLB35" s="41"/>
      <c r="DLM35" s="41"/>
      <c r="DLX35" s="41"/>
      <c r="DMI35" s="41"/>
      <c r="DMT35" s="41"/>
      <c r="DNE35" s="41"/>
      <c r="DNP35" s="41"/>
      <c r="DOA35" s="41"/>
      <c r="DOL35" s="41"/>
      <c r="DOW35" s="41"/>
      <c r="DPH35" s="41"/>
      <c r="DPS35" s="41"/>
      <c r="DQD35" s="41"/>
      <c r="DQO35" s="41"/>
      <c r="DQZ35" s="41"/>
      <c r="DRK35" s="41"/>
      <c r="DRV35" s="41"/>
      <c r="DSG35" s="41"/>
      <c r="DSR35" s="41"/>
      <c r="DTC35" s="41"/>
      <c r="DTN35" s="41"/>
      <c r="DTY35" s="41"/>
      <c r="DUJ35" s="41"/>
      <c r="DUU35" s="41"/>
      <c r="DVF35" s="41"/>
      <c r="DVQ35" s="41"/>
      <c r="DWB35" s="41"/>
      <c r="DWM35" s="41"/>
      <c r="DWX35" s="41"/>
      <c r="DXI35" s="41"/>
      <c r="DXT35" s="41"/>
      <c r="DYE35" s="41"/>
      <c r="DYP35" s="41"/>
      <c r="DZA35" s="41"/>
      <c r="DZL35" s="41"/>
      <c r="DZW35" s="41"/>
      <c r="EAH35" s="41"/>
      <c r="EAS35" s="41"/>
      <c r="EBD35" s="41"/>
      <c r="EBO35" s="41"/>
      <c r="EBZ35" s="41"/>
      <c r="ECK35" s="41"/>
      <c r="ECV35" s="41"/>
      <c r="EDG35" s="41"/>
      <c r="EDR35" s="41"/>
      <c r="EEC35" s="41"/>
      <c r="EEN35" s="41"/>
      <c r="EEY35" s="41"/>
      <c r="EFJ35" s="41"/>
      <c r="EFU35" s="41"/>
      <c r="EGF35" s="41"/>
      <c r="EGQ35" s="41"/>
      <c r="EHB35" s="41"/>
      <c r="EHM35" s="41"/>
      <c r="EHX35" s="41"/>
      <c r="EII35" s="41"/>
      <c r="EIT35" s="41"/>
      <c r="EJE35" s="41"/>
      <c r="EJP35" s="41"/>
      <c r="EKA35" s="41"/>
      <c r="EKL35" s="41"/>
      <c r="EKW35" s="41"/>
      <c r="ELH35" s="41"/>
      <c r="ELS35" s="41"/>
      <c r="EMD35" s="41"/>
      <c r="EMO35" s="41"/>
      <c r="EMZ35" s="41"/>
      <c r="ENK35" s="41"/>
      <c r="ENV35" s="41"/>
      <c r="EOG35" s="41"/>
      <c r="EOR35" s="41"/>
      <c r="EPC35" s="41"/>
      <c r="EPN35" s="41"/>
      <c r="EPY35" s="41"/>
      <c r="EQJ35" s="41"/>
      <c r="EQU35" s="41"/>
      <c r="ERF35" s="41"/>
      <c r="ERQ35" s="41"/>
      <c r="ESB35" s="41"/>
      <c r="ESM35" s="41"/>
      <c r="ESX35" s="41"/>
      <c r="ETI35" s="41"/>
      <c r="ETT35" s="41"/>
      <c r="EUE35" s="41"/>
      <c r="EUP35" s="41"/>
      <c r="EVA35" s="41"/>
      <c r="EVL35" s="41"/>
      <c r="EVW35" s="41"/>
      <c r="EWH35" s="41"/>
      <c r="EWS35" s="41"/>
      <c r="EXD35" s="41"/>
      <c r="EXO35" s="41"/>
      <c r="EXZ35" s="41"/>
      <c r="EYK35" s="41"/>
      <c r="EYV35" s="41"/>
      <c r="EZG35" s="41"/>
      <c r="EZR35" s="41"/>
      <c r="FAC35" s="41"/>
      <c r="FAN35" s="41"/>
      <c r="FAY35" s="41"/>
      <c r="FBJ35" s="41"/>
      <c r="FBU35" s="41"/>
      <c r="FCF35" s="41"/>
      <c r="FCQ35" s="41"/>
      <c r="FDB35" s="41"/>
      <c r="FDM35" s="41"/>
      <c r="FDX35" s="41"/>
      <c r="FEI35" s="41"/>
      <c r="FET35" s="41"/>
      <c r="FFE35" s="41"/>
      <c r="FFP35" s="41"/>
      <c r="FGA35" s="41"/>
      <c r="FGL35" s="41"/>
      <c r="FGW35" s="41"/>
      <c r="FHH35" s="41"/>
      <c r="FHS35" s="41"/>
      <c r="FID35" s="41"/>
      <c r="FIO35" s="41"/>
      <c r="FIZ35" s="41"/>
      <c r="FJK35" s="41"/>
      <c r="FJV35" s="41"/>
      <c r="FKG35" s="41"/>
      <c r="FKR35" s="41"/>
      <c r="FLC35" s="41"/>
      <c r="FLN35" s="41"/>
      <c r="FLY35" s="41"/>
      <c r="FMJ35" s="41"/>
      <c r="FMU35" s="41"/>
      <c r="FNF35" s="41"/>
      <c r="FNQ35" s="41"/>
      <c r="FOB35" s="41"/>
      <c r="FOM35" s="41"/>
      <c r="FOX35" s="41"/>
      <c r="FPI35" s="41"/>
      <c r="FPT35" s="41"/>
      <c r="FQE35" s="41"/>
      <c r="FQP35" s="41"/>
      <c r="FRA35" s="41"/>
      <c r="FRL35" s="41"/>
      <c r="FRW35" s="41"/>
      <c r="FSH35" s="41"/>
      <c r="FSS35" s="41"/>
      <c r="FTD35" s="41"/>
      <c r="FTO35" s="41"/>
      <c r="FTZ35" s="41"/>
      <c r="FUK35" s="41"/>
      <c r="FUV35" s="41"/>
      <c r="FVG35" s="41"/>
      <c r="FVR35" s="41"/>
      <c r="FWC35" s="41"/>
      <c r="FWN35" s="41"/>
      <c r="FWY35" s="41"/>
      <c r="FXJ35" s="41"/>
      <c r="FXU35" s="41"/>
      <c r="FYF35" s="41"/>
      <c r="FYQ35" s="41"/>
      <c r="FZB35" s="41"/>
      <c r="FZM35" s="41"/>
      <c r="FZX35" s="41"/>
      <c r="GAI35" s="41"/>
      <c r="GAT35" s="41"/>
      <c r="GBE35" s="41"/>
      <c r="GBP35" s="41"/>
      <c r="GCA35" s="41"/>
      <c r="GCL35" s="41"/>
      <c r="GCW35" s="41"/>
      <c r="GDH35" s="41"/>
      <c r="GDS35" s="41"/>
      <c r="GED35" s="41"/>
      <c r="GEO35" s="41"/>
      <c r="GEZ35" s="41"/>
      <c r="GFK35" s="41"/>
      <c r="GFV35" s="41"/>
      <c r="GGG35" s="41"/>
      <c r="GGR35" s="41"/>
      <c r="GHC35" s="41"/>
      <c r="GHN35" s="41"/>
      <c r="GHY35" s="41"/>
      <c r="GIJ35" s="41"/>
      <c r="GIU35" s="41"/>
      <c r="GJF35" s="41"/>
      <c r="GJQ35" s="41"/>
      <c r="GKB35" s="41"/>
      <c r="GKM35" s="41"/>
      <c r="GKX35" s="41"/>
      <c r="GLI35" s="41"/>
      <c r="GLT35" s="41"/>
      <c r="GME35" s="41"/>
      <c r="GMP35" s="41"/>
      <c r="GNA35" s="41"/>
      <c r="GNL35" s="41"/>
      <c r="GNW35" s="41"/>
      <c r="GOH35" s="41"/>
      <c r="GOS35" s="41"/>
      <c r="GPD35" s="41"/>
      <c r="GPO35" s="41"/>
      <c r="GPZ35" s="41"/>
      <c r="GQK35" s="41"/>
      <c r="GQV35" s="41"/>
      <c r="GRG35" s="41"/>
      <c r="GRR35" s="41"/>
      <c r="GSC35" s="41"/>
      <c r="GSN35" s="41"/>
      <c r="GSY35" s="41"/>
      <c r="GTJ35" s="41"/>
      <c r="GTU35" s="41"/>
      <c r="GUF35" s="41"/>
      <c r="GUQ35" s="41"/>
      <c r="GVB35" s="41"/>
      <c r="GVM35" s="41"/>
      <c r="GVX35" s="41"/>
      <c r="GWI35" s="41"/>
      <c r="GWT35" s="41"/>
      <c r="GXE35" s="41"/>
      <c r="GXP35" s="41"/>
      <c r="GYA35" s="41"/>
      <c r="GYL35" s="41"/>
      <c r="GYW35" s="41"/>
      <c r="GZH35" s="41"/>
      <c r="GZS35" s="41"/>
      <c r="HAD35" s="41"/>
      <c r="HAO35" s="41"/>
      <c r="HAZ35" s="41"/>
      <c r="HBK35" s="41"/>
      <c r="HBV35" s="41"/>
      <c r="HCG35" s="41"/>
      <c r="HCR35" s="41"/>
      <c r="HDC35" s="41"/>
      <c r="HDN35" s="41"/>
      <c r="HDY35" s="41"/>
      <c r="HEJ35" s="41"/>
      <c r="HEU35" s="41"/>
      <c r="HFF35" s="41"/>
      <c r="HFQ35" s="41"/>
      <c r="HGB35" s="41"/>
      <c r="HGM35" s="41"/>
      <c r="HGX35" s="41"/>
      <c r="HHI35" s="41"/>
      <c r="HHT35" s="41"/>
      <c r="HIE35" s="41"/>
      <c r="HIP35" s="41"/>
      <c r="HJA35" s="41"/>
      <c r="HJL35" s="41"/>
      <c r="HJW35" s="41"/>
      <c r="HKH35" s="41"/>
      <c r="HKS35" s="41"/>
      <c r="HLD35" s="41"/>
      <c r="HLO35" s="41"/>
      <c r="HLZ35" s="41"/>
      <c r="HMK35" s="41"/>
      <c r="HMV35" s="41"/>
      <c r="HNG35" s="41"/>
      <c r="HNR35" s="41"/>
      <c r="HOC35" s="41"/>
      <c r="HON35" s="41"/>
      <c r="HOY35" s="41"/>
      <c r="HPJ35" s="41"/>
      <c r="HPU35" s="41"/>
      <c r="HQF35" s="41"/>
      <c r="HQQ35" s="41"/>
      <c r="HRB35" s="41"/>
      <c r="HRM35" s="41"/>
      <c r="HRX35" s="41"/>
      <c r="HSI35" s="41"/>
      <c r="HST35" s="41"/>
      <c r="HTE35" s="41"/>
      <c r="HTP35" s="41"/>
      <c r="HUA35" s="41"/>
      <c r="HUL35" s="41"/>
      <c r="HUW35" s="41"/>
      <c r="HVH35" s="41"/>
      <c r="HVS35" s="41"/>
      <c r="HWD35" s="41"/>
      <c r="HWO35" s="41"/>
      <c r="HWZ35" s="41"/>
      <c r="HXK35" s="41"/>
      <c r="HXV35" s="41"/>
      <c r="HYG35" s="41"/>
      <c r="HYR35" s="41"/>
      <c r="HZC35" s="41"/>
      <c r="HZN35" s="41"/>
      <c r="HZY35" s="41"/>
      <c r="IAJ35" s="41"/>
      <c r="IAU35" s="41"/>
      <c r="IBF35" s="41"/>
      <c r="IBQ35" s="41"/>
      <c r="ICB35" s="41"/>
      <c r="ICM35" s="41"/>
      <c r="ICX35" s="41"/>
      <c r="IDI35" s="41"/>
      <c r="IDT35" s="41"/>
      <c r="IEE35" s="41"/>
      <c r="IEP35" s="41"/>
      <c r="IFA35" s="41"/>
      <c r="IFL35" s="41"/>
      <c r="IFW35" s="41"/>
      <c r="IGH35" s="41"/>
      <c r="IGS35" s="41"/>
      <c r="IHD35" s="41"/>
      <c r="IHO35" s="41"/>
      <c r="IHZ35" s="41"/>
      <c r="IIK35" s="41"/>
      <c r="IIV35" s="41"/>
      <c r="IJG35" s="41"/>
      <c r="IJR35" s="41"/>
      <c r="IKC35" s="41"/>
      <c r="IKN35" s="41"/>
      <c r="IKY35" s="41"/>
      <c r="ILJ35" s="41"/>
      <c r="ILU35" s="41"/>
      <c r="IMF35" s="41"/>
      <c r="IMQ35" s="41"/>
      <c r="INB35" s="41"/>
      <c r="INM35" s="41"/>
      <c r="INX35" s="41"/>
      <c r="IOI35" s="41"/>
      <c r="IOT35" s="41"/>
      <c r="IPE35" s="41"/>
      <c r="IPP35" s="41"/>
      <c r="IQA35" s="41"/>
      <c r="IQL35" s="41"/>
      <c r="IQW35" s="41"/>
      <c r="IRH35" s="41"/>
      <c r="IRS35" s="41"/>
      <c r="ISD35" s="41"/>
      <c r="ISO35" s="41"/>
      <c r="ISZ35" s="41"/>
      <c r="ITK35" s="41"/>
      <c r="ITV35" s="41"/>
      <c r="IUG35" s="41"/>
      <c r="IUR35" s="41"/>
      <c r="IVC35" s="41"/>
      <c r="IVN35" s="41"/>
      <c r="IVY35" s="41"/>
      <c r="IWJ35" s="41"/>
      <c r="IWU35" s="41"/>
      <c r="IXF35" s="41"/>
      <c r="IXQ35" s="41"/>
      <c r="IYB35" s="41"/>
      <c r="IYM35" s="41"/>
      <c r="IYX35" s="41"/>
      <c r="IZI35" s="41"/>
      <c r="IZT35" s="41"/>
      <c r="JAE35" s="41"/>
      <c r="JAP35" s="41"/>
      <c r="JBA35" s="41"/>
      <c r="JBL35" s="41"/>
      <c r="JBW35" s="41"/>
      <c r="JCH35" s="41"/>
      <c r="JCS35" s="41"/>
      <c r="JDD35" s="41"/>
      <c r="JDO35" s="41"/>
      <c r="JDZ35" s="41"/>
      <c r="JEK35" s="41"/>
      <c r="JEV35" s="41"/>
      <c r="JFG35" s="41"/>
      <c r="JFR35" s="41"/>
      <c r="JGC35" s="41"/>
      <c r="JGN35" s="41"/>
      <c r="JGY35" s="41"/>
      <c r="JHJ35" s="41"/>
      <c r="JHU35" s="41"/>
      <c r="JIF35" s="41"/>
      <c r="JIQ35" s="41"/>
      <c r="JJB35" s="41"/>
      <c r="JJM35" s="41"/>
      <c r="JJX35" s="41"/>
      <c r="JKI35" s="41"/>
      <c r="JKT35" s="41"/>
      <c r="JLE35" s="41"/>
      <c r="JLP35" s="41"/>
      <c r="JMA35" s="41"/>
      <c r="JML35" s="41"/>
      <c r="JMW35" s="41"/>
      <c r="JNH35" s="41"/>
      <c r="JNS35" s="41"/>
      <c r="JOD35" s="41"/>
      <c r="JOO35" s="41"/>
      <c r="JOZ35" s="41"/>
      <c r="JPK35" s="41"/>
      <c r="JPV35" s="41"/>
      <c r="JQG35" s="41"/>
      <c r="JQR35" s="41"/>
      <c r="JRC35" s="41"/>
      <c r="JRN35" s="41"/>
      <c r="JRY35" s="41"/>
      <c r="JSJ35" s="41"/>
      <c r="JSU35" s="41"/>
      <c r="JTF35" s="41"/>
      <c r="JTQ35" s="41"/>
      <c r="JUB35" s="41"/>
      <c r="JUM35" s="41"/>
      <c r="JUX35" s="41"/>
      <c r="JVI35" s="41"/>
      <c r="JVT35" s="41"/>
      <c r="JWE35" s="41"/>
      <c r="JWP35" s="41"/>
      <c r="JXA35" s="41"/>
      <c r="JXL35" s="41"/>
      <c r="JXW35" s="41"/>
      <c r="JYH35" s="41"/>
      <c r="JYS35" s="41"/>
      <c r="JZD35" s="41"/>
      <c r="JZO35" s="41"/>
      <c r="JZZ35" s="41"/>
      <c r="KAK35" s="41"/>
      <c r="KAV35" s="41"/>
      <c r="KBG35" s="41"/>
      <c r="KBR35" s="41"/>
      <c r="KCC35" s="41"/>
      <c r="KCN35" s="41"/>
      <c r="KCY35" s="41"/>
      <c r="KDJ35" s="41"/>
      <c r="KDU35" s="41"/>
      <c r="KEF35" s="41"/>
      <c r="KEQ35" s="41"/>
      <c r="KFB35" s="41"/>
      <c r="KFM35" s="41"/>
      <c r="KFX35" s="41"/>
      <c r="KGI35" s="41"/>
      <c r="KGT35" s="41"/>
      <c r="KHE35" s="41"/>
      <c r="KHP35" s="41"/>
      <c r="KIA35" s="41"/>
      <c r="KIL35" s="41"/>
      <c r="KIW35" s="41"/>
      <c r="KJH35" s="41"/>
      <c r="KJS35" s="41"/>
      <c r="KKD35" s="41"/>
      <c r="KKO35" s="41"/>
      <c r="KKZ35" s="41"/>
      <c r="KLK35" s="41"/>
      <c r="KLV35" s="41"/>
      <c r="KMG35" s="41"/>
      <c r="KMR35" s="41"/>
      <c r="KNC35" s="41"/>
      <c r="KNN35" s="41"/>
      <c r="KNY35" s="41"/>
      <c r="KOJ35" s="41"/>
      <c r="KOU35" s="41"/>
      <c r="KPF35" s="41"/>
      <c r="KPQ35" s="41"/>
      <c r="KQB35" s="41"/>
      <c r="KQM35" s="41"/>
      <c r="KQX35" s="41"/>
      <c r="KRI35" s="41"/>
      <c r="KRT35" s="41"/>
      <c r="KSE35" s="41"/>
      <c r="KSP35" s="41"/>
      <c r="KTA35" s="41"/>
      <c r="KTL35" s="41"/>
      <c r="KTW35" s="41"/>
      <c r="KUH35" s="41"/>
      <c r="KUS35" s="41"/>
      <c r="KVD35" s="41"/>
      <c r="KVO35" s="41"/>
      <c r="KVZ35" s="41"/>
      <c r="KWK35" s="41"/>
      <c r="KWV35" s="41"/>
      <c r="KXG35" s="41"/>
      <c r="KXR35" s="41"/>
      <c r="KYC35" s="41"/>
      <c r="KYN35" s="41"/>
      <c r="KYY35" s="41"/>
      <c r="KZJ35" s="41"/>
      <c r="KZU35" s="41"/>
      <c r="LAF35" s="41"/>
      <c r="LAQ35" s="41"/>
      <c r="LBB35" s="41"/>
      <c r="LBM35" s="41"/>
      <c r="LBX35" s="41"/>
      <c r="LCI35" s="41"/>
      <c r="LCT35" s="41"/>
      <c r="LDE35" s="41"/>
      <c r="LDP35" s="41"/>
      <c r="LEA35" s="41"/>
      <c r="LEL35" s="41"/>
      <c r="LEW35" s="41"/>
      <c r="LFH35" s="41"/>
      <c r="LFS35" s="41"/>
      <c r="LGD35" s="41"/>
      <c r="LGO35" s="41"/>
      <c r="LGZ35" s="41"/>
      <c r="LHK35" s="41"/>
      <c r="LHV35" s="41"/>
      <c r="LIG35" s="41"/>
      <c r="LIR35" s="41"/>
      <c r="LJC35" s="41"/>
      <c r="LJN35" s="41"/>
      <c r="LJY35" s="41"/>
      <c r="LKJ35" s="41"/>
      <c r="LKU35" s="41"/>
      <c r="LLF35" s="41"/>
      <c r="LLQ35" s="41"/>
      <c r="LMB35" s="41"/>
      <c r="LMM35" s="41"/>
      <c r="LMX35" s="41"/>
      <c r="LNI35" s="41"/>
      <c r="LNT35" s="41"/>
      <c r="LOE35" s="41"/>
      <c r="LOP35" s="41"/>
      <c r="LPA35" s="41"/>
      <c r="LPL35" s="41"/>
      <c r="LPW35" s="41"/>
      <c r="LQH35" s="41"/>
      <c r="LQS35" s="41"/>
      <c r="LRD35" s="41"/>
      <c r="LRO35" s="41"/>
      <c r="LRZ35" s="41"/>
      <c r="LSK35" s="41"/>
      <c r="LSV35" s="41"/>
      <c r="LTG35" s="41"/>
      <c r="LTR35" s="41"/>
      <c r="LUC35" s="41"/>
      <c r="LUN35" s="41"/>
      <c r="LUY35" s="41"/>
      <c r="LVJ35" s="41"/>
      <c r="LVU35" s="41"/>
      <c r="LWF35" s="41"/>
      <c r="LWQ35" s="41"/>
      <c r="LXB35" s="41"/>
      <c r="LXM35" s="41"/>
      <c r="LXX35" s="41"/>
      <c r="LYI35" s="41"/>
      <c r="LYT35" s="41"/>
      <c r="LZE35" s="41"/>
      <c r="LZP35" s="41"/>
      <c r="MAA35" s="41"/>
      <c r="MAL35" s="41"/>
      <c r="MAW35" s="41"/>
      <c r="MBH35" s="41"/>
      <c r="MBS35" s="41"/>
      <c r="MCD35" s="41"/>
      <c r="MCO35" s="41"/>
      <c r="MCZ35" s="41"/>
      <c r="MDK35" s="41"/>
      <c r="MDV35" s="41"/>
      <c r="MEG35" s="41"/>
      <c r="MER35" s="41"/>
      <c r="MFC35" s="41"/>
      <c r="MFN35" s="41"/>
      <c r="MFY35" s="41"/>
      <c r="MGJ35" s="41"/>
      <c r="MGU35" s="41"/>
      <c r="MHF35" s="41"/>
      <c r="MHQ35" s="41"/>
      <c r="MIB35" s="41"/>
      <c r="MIM35" s="41"/>
      <c r="MIX35" s="41"/>
      <c r="MJI35" s="41"/>
      <c r="MJT35" s="41"/>
      <c r="MKE35" s="41"/>
      <c r="MKP35" s="41"/>
      <c r="MLA35" s="41"/>
      <c r="MLL35" s="41"/>
      <c r="MLW35" s="41"/>
      <c r="MMH35" s="41"/>
      <c r="MMS35" s="41"/>
      <c r="MND35" s="41"/>
      <c r="MNO35" s="41"/>
      <c r="MNZ35" s="41"/>
      <c r="MOK35" s="41"/>
      <c r="MOV35" s="41"/>
      <c r="MPG35" s="41"/>
      <c r="MPR35" s="41"/>
      <c r="MQC35" s="41"/>
      <c r="MQN35" s="41"/>
      <c r="MQY35" s="41"/>
      <c r="MRJ35" s="41"/>
      <c r="MRU35" s="41"/>
      <c r="MSF35" s="41"/>
      <c r="MSQ35" s="41"/>
      <c r="MTB35" s="41"/>
      <c r="MTM35" s="41"/>
      <c r="MTX35" s="41"/>
      <c r="MUI35" s="41"/>
      <c r="MUT35" s="41"/>
      <c r="MVE35" s="41"/>
      <c r="MVP35" s="41"/>
      <c r="MWA35" s="41"/>
      <c r="MWL35" s="41"/>
      <c r="MWW35" s="41"/>
      <c r="MXH35" s="41"/>
      <c r="MXS35" s="41"/>
      <c r="MYD35" s="41"/>
      <c r="MYO35" s="41"/>
      <c r="MYZ35" s="41"/>
      <c r="MZK35" s="41"/>
      <c r="MZV35" s="41"/>
      <c r="NAG35" s="41"/>
      <c r="NAR35" s="41"/>
      <c r="NBC35" s="41"/>
      <c r="NBN35" s="41"/>
      <c r="NBY35" s="41"/>
      <c r="NCJ35" s="41"/>
      <c r="NCU35" s="41"/>
      <c r="NDF35" s="41"/>
      <c r="NDQ35" s="41"/>
      <c r="NEB35" s="41"/>
      <c r="NEM35" s="41"/>
      <c r="NEX35" s="41"/>
      <c r="NFI35" s="41"/>
      <c r="NFT35" s="41"/>
      <c r="NGE35" s="41"/>
      <c r="NGP35" s="41"/>
      <c r="NHA35" s="41"/>
      <c r="NHL35" s="41"/>
      <c r="NHW35" s="41"/>
      <c r="NIH35" s="41"/>
      <c r="NIS35" s="41"/>
      <c r="NJD35" s="41"/>
      <c r="NJO35" s="41"/>
      <c r="NJZ35" s="41"/>
      <c r="NKK35" s="41"/>
      <c r="NKV35" s="41"/>
      <c r="NLG35" s="41"/>
      <c r="NLR35" s="41"/>
      <c r="NMC35" s="41"/>
      <c r="NMN35" s="41"/>
      <c r="NMY35" s="41"/>
      <c r="NNJ35" s="41"/>
      <c r="NNU35" s="41"/>
      <c r="NOF35" s="41"/>
      <c r="NOQ35" s="41"/>
      <c r="NPB35" s="41"/>
      <c r="NPM35" s="41"/>
      <c r="NPX35" s="41"/>
      <c r="NQI35" s="41"/>
      <c r="NQT35" s="41"/>
      <c r="NRE35" s="41"/>
      <c r="NRP35" s="41"/>
      <c r="NSA35" s="41"/>
      <c r="NSL35" s="41"/>
      <c r="NSW35" s="41"/>
      <c r="NTH35" s="41"/>
      <c r="NTS35" s="41"/>
      <c r="NUD35" s="41"/>
      <c r="NUO35" s="41"/>
      <c r="NUZ35" s="41"/>
      <c r="NVK35" s="41"/>
      <c r="NVV35" s="41"/>
      <c r="NWG35" s="41"/>
      <c r="NWR35" s="41"/>
      <c r="NXC35" s="41"/>
      <c r="NXN35" s="41"/>
      <c r="NXY35" s="41"/>
      <c r="NYJ35" s="41"/>
      <c r="NYU35" s="41"/>
      <c r="NZF35" s="41"/>
      <c r="NZQ35" s="41"/>
      <c r="OAB35" s="41"/>
      <c r="OAM35" s="41"/>
      <c r="OAX35" s="41"/>
      <c r="OBI35" s="41"/>
      <c r="OBT35" s="41"/>
      <c r="OCE35" s="41"/>
      <c r="OCP35" s="41"/>
      <c r="ODA35" s="41"/>
      <c r="ODL35" s="41"/>
      <c r="ODW35" s="41"/>
      <c r="OEH35" s="41"/>
      <c r="OES35" s="41"/>
      <c r="OFD35" s="41"/>
      <c r="OFO35" s="41"/>
      <c r="OFZ35" s="41"/>
      <c r="OGK35" s="41"/>
      <c r="OGV35" s="41"/>
      <c r="OHG35" s="41"/>
      <c r="OHR35" s="41"/>
      <c r="OIC35" s="41"/>
      <c r="OIN35" s="41"/>
      <c r="OIY35" s="41"/>
      <c r="OJJ35" s="41"/>
      <c r="OJU35" s="41"/>
      <c r="OKF35" s="41"/>
      <c r="OKQ35" s="41"/>
      <c r="OLB35" s="41"/>
      <c r="OLM35" s="41"/>
      <c r="OLX35" s="41"/>
      <c r="OMI35" s="41"/>
      <c r="OMT35" s="41"/>
      <c r="ONE35" s="41"/>
      <c r="ONP35" s="41"/>
      <c r="OOA35" s="41"/>
      <c r="OOL35" s="41"/>
      <c r="OOW35" s="41"/>
      <c r="OPH35" s="41"/>
      <c r="OPS35" s="41"/>
      <c r="OQD35" s="41"/>
      <c r="OQO35" s="41"/>
      <c r="OQZ35" s="41"/>
      <c r="ORK35" s="41"/>
      <c r="ORV35" s="41"/>
      <c r="OSG35" s="41"/>
      <c r="OSR35" s="41"/>
      <c r="OTC35" s="41"/>
      <c r="OTN35" s="41"/>
      <c r="OTY35" s="41"/>
      <c r="OUJ35" s="41"/>
      <c r="OUU35" s="41"/>
      <c r="OVF35" s="41"/>
      <c r="OVQ35" s="41"/>
      <c r="OWB35" s="41"/>
      <c r="OWM35" s="41"/>
      <c r="OWX35" s="41"/>
      <c r="OXI35" s="41"/>
      <c r="OXT35" s="41"/>
      <c r="OYE35" s="41"/>
      <c r="OYP35" s="41"/>
      <c r="OZA35" s="41"/>
      <c r="OZL35" s="41"/>
      <c r="OZW35" s="41"/>
      <c r="PAH35" s="41"/>
      <c r="PAS35" s="41"/>
      <c r="PBD35" s="41"/>
      <c r="PBO35" s="41"/>
      <c r="PBZ35" s="41"/>
      <c r="PCK35" s="41"/>
      <c r="PCV35" s="41"/>
      <c r="PDG35" s="41"/>
      <c r="PDR35" s="41"/>
      <c r="PEC35" s="41"/>
      <c r="PEN35" s="41"/>
      <c r="PEY35" s="41"/>
      <c r="PFJ35" s="41"/>
      <c r="PFU35" s="41"/>
      <c r="PGF35" s="41"/>
      <c r="PGQ35" s="41"/>
      <c r="PHB35" s="41"/>
      <c r="PHM35" s="41"/>
      <c r="PHX35" s="41"/>
      <c r="PII35" s="41"/>
      <c r="PIT35" s="41"/>
      <c r="PJE35" s="41"/>
      <c r="PJP35" s="41"/>
      <c r="PKA35" s="41"/>
      <c r="PKL35" s="41"/>
      <c r="PKW35" s="41"/>
      <c r="PLH35" s="41"/>
      <c r="PLS35" s="41"/>
      <c r="PMD35" s="41"/>
      <c r="PMO35" s="41"/>
      <c r="PMZ35" s="41"/>
      <c r="PNK35" s="41"/>
      <c r="PNV35" s="41"/>
      <c r="POG35" s="41"/>
      <c r="POR35" s="41"/>
      <c r="PPC35" s="41"/>
      <c r="PPN35" s="41"/>
      <c r="PPY35" s="41"/>
      <c r="PQJ35" s="41"/>
      <c r="PQU35" s="41"/>
      <c r="PRF35" s="41"/>
      <c r="PRQ35" s="41"/>
      <c r="PSB35" s="41"/>
      <c r="PSM35" s="41"/>
      <c r="PSX35" s="41"/>
      <c r="PTI35" s="41"/>
      <c r="PTT35" s="41"/>
      <c r="PUE35" s="41"/>
      <c r="PUP35" s="41"/>
      <c r="PVA35" s="41"/>
      <c r="PVL35" s="41"/>
      <c r="PVW35" s="41"/>
      <c r="PWH35" s="41"/>
      <c r="PWS35" s="41"/>
      <c r="PXD35" s="41"/>
      <c r="PXO35" s="41"/>
      <c r="PXZ35" s="41"/>
      <c r="PYK35" s="41"/>
      <c r="PYV35" s="41"/>
      <c r="PZG35" s="41"/>
      <c r="PZR35" s="41"/>
      <c r="QAC35" s="41"/>
      <c r="QAN35" s="41"/>
      <c r="QAY35" s="41"/>
      <c r="QBJ35" s="41"/>
      <c r="QBU35" s="41"/>
      <c r="QCF35" s="41"/>
      <c r="QCQ35" s="41"/>
      <c r="QDB35" s="41"/>
      <c r="QDM35" s="41"/>
      <c r="QDX35" s="41"/>
      <c r="QEI35" s="41"/>
      <c r="QET35" s="41"/>
      <c r="QFE35" s="41"/>
      <c r="QFP35" s="41"/>
      <c r="QGA35" s="41"/>
      <c r="QGL35" s="41"/>
      <c r="QGW35" s="41"/>
      <c r="QHH35" s="41"/>
      <c r="QHS35" s="41"/>
      <c r="QID35" s="41"/>
      <c r="QIO35" s="41"/>
      <c r="QIZ35" s="41"/>
      <c r="QJK35" s="41"/>
      <c r="QJV35" s="41"/>
      <c r="QKG35" s="41"/>
      <c r="QKR35" s="41"/>
      <c r="QLC35" s="41"/>
      <c r="QLN35" s="41"/>
      <c r="QLY35" s="41"/>
      <c r="QMJ35" s="41"/>
      <c r="QMU35" s="41"/>
      <c r="QNF35" s="41"/>
      <c r="QNQ35" s="41"/>
      <c r="QOB35" s="41"/>
      <c r="QOM35" s="41"/>
      <c r="QOX35" s="41"/>
      <c r="QPI35" s="41"/>
      <c r="QPT35" s="41"/>
      <c r="QQE35" s="41"/>
      <c r="QQP35" s="41"/>
      <c r="QRA35" s="41"/>
      <c r="QRL35" s="41"/>
      <c r="QRW35" s="41"/>
      <c r="QSH35" s="41"/>
      <c r="QSS35" s="41"/>
      <c r="QTD35" s="41"/>
      <c r="QTO35" s="41"/>
      <c r="QTZ35" s="41"/>
      <c r="QUK35" s="41"/>
      <c r="QUV35" s="41"/>
      <c r="QVG35" s="41"/>
      <c r="QVR35" s="41"/>
      <c r="QWC35" s="41"/>
      <c r="QWN35" s="41"/>
      <c r="QWY35" s="41"/>
      <c r="QXJ35" s="41"/>
      <c r="QXU35" s="41"/>
      <c r="QYF35" s="41"/>
      <c r="QYQ35" s="41"/>
      <c r="QZB35" s="41"/>
      <c r="QZM35" s="41"/>
      <c r="QZX35" s="41"/>
      <c r="RAI35" s="41"/>
      <c r="RAT35" s="41"/>
      <c r="RBE35" s="41"/>
      <c r="RBP35" s="41"/>
      <c r="RCA35" s="41"/>
      <c r="RCL35" s="41"/>
      <c r="RCW35" s="41"/>
      <c r="RDH35" s="41"/>
      <c r="RDS35" s="41"/>
      <c r="RED35" s="41"/>
      <c r="REO35" s="41"/>
      <c r="REZ35" s="41"/>
      <c r="RFK35" s="41"/>
      <c r="RFV35" s="41"/>
      <c r="RGG35" s="41"/>
      <c r="RGR35" s="41"/>
      <c r="RHC35" s="41"/>
      <c r="RHN35" s="41"/>
      <c r="RHY35" s="41"/>
      <c r="RIJ35" s="41"/>
      <c r="RIU35" s="41"/>
      <c r="RJF35" s="41"/>
      <c r="RJQ35" s="41"/>
      <c r="RKB35" s="41"/>
      <c r="RKM35" s="41"/>
      <c r="RKX35" s="41"/>
      <c r="RLI35" s="41"/>
      <c r="RLT35" s="41"/>
      <c r="RME35" s="41"/>
      <c r="RMP35" s="41"/>
      <c r="RNA35" s="41"/>
      <c r="RNL35" s="41"/>
      <c r="RNW35" s="41"/>
      <c r="ROH35" s="41"/>
      <c r="ROS35" s="41"/>
      <c r="RPD35" s="41"/>
      <c r="RPO35" s="41"/>
      <c r="RPZ35" s="41"/>
      <c r="RQK35" s="41"/>
      <c r="RQV35" s="41"/>
      <c r="RRG35" s="41"/>
      <c r="RRR35" s="41"/>
      <c r="RSC35" s="41"/>
      <c r="RSN35" s="41"/>
      <c r="RSY35" s="41"/>
      <c r="RTJ35" s="41"/>
      <c r="RTU35" s="41"/>
      <c r="RUF35" s="41"/>
      <c r="RUQ35" s="41"/>
      <c r="RVB35" s="41"/>
      <c r="RVM35" s="41"/>
      <c r="RVX35" s="41"/>
      <c r="RWI35" s="41"/>
      <c r="RWT35" s="41"/>
      <c r="RXE35" s="41"/>
      <c r="RXP35" s="41"/>
      <c r="RYA35" s="41"/>
      <c r="RYL35" s="41"/>
      <c r="RYW35" s="41"/>
      <c r="RZH35" s="41"/>
      <c r="RZS35" s="41"/>
      <c r="SAD35" s="41"/>
      <c r="SAO35" s="41"/>
      <c r="SAZ35" s="41"/>
      <c r="SBK35" s="41"/>
      <c r="SBV35" s="41"/>
      <c r="SCG35" s="41"/>
      <c r="SCR35" s="41"/>
      <c r="SDC35" s="41"/>
      <c r="SDN35" s="41"/>
      <c r="SDY35" s="41"/>
      <c r="SEJ35" s="41"/>
      <c r="SEU35" s="41"/>
      <c r="SFF35" s="41"/>
      <c r="SFQ35" s="41"/>
      <c r="SGB35" s="41"/>
      <c r="SGM35" s="41"/>
      <c r="SGX35" s="41"/>
      <c r="SHI35" s="41"/>
      <c r="SHT35" s="41"/>
      <c r="SIE35" s="41"/>
      <c r="SIP35" s="41"/>
      <c r="SJA35" s="41"/>
      <c r="SJL35" s="41"/>
      <c r="SJW35" s="41"/>
      <c r="SKH35" s="41"/>
      <c r="SKS35" s="41"/>
      <c r="SLD35" s="41"/>
      <c r="SLO35" s="41"/>
      <c r="SLZ35" s="41"/>
      <c r="SMK35" s="41"/>
      <c r="SMV35" s="41"/>
      <c r="SNG35" s="41"/>
      <c r="SNR35" s="41"/>
      <c r="SOC35" s="41"/>
      <c r="SON35" s="41"/>
      <c r="SOY35" s="41"/>
      <c r="SPJ35" s="41"/>
      <c r="SPU35" s="41"/>
      <c r="SQF35" s="41"/>
      <c r="SQQ35" s="41"/>
      <c r="SRB35" s="41"/>
      <c r="SRM35" s="41"/>
      <c r="SRX35" s="41"/>
      <c r="SSI35" s="41"/>
      <c r="SST35" s="41"/>
      <c r="STE35" s="41"/>
      <c r="STP35" s="41"/>
      <c r="SUA35" s="41"/>
      <c r="SUL35" s="41"/>
      <c r="SUW35" s="41"/>
      <c r="SVH35" s="41"/>
      <c r="SVS35" s="41"/>
      <c r="SWD35" s="41"/>
      <c r="SWO35" s="41"/>
      <c r="SWZ35" s="41"/>
      <c r="SXK35" s="41"/>
      <c r="SXV35" s="41"/>
      <c r="SYG35" s="41"/>
      <c r="SYR35" s="41"/>
      <c r="SZC35" s="41"/>
      <c r="SZN35" s="41"/>
      <c r="SZY35" s="41"/>
      <c r="TAJ35" s="41"/>
      <c r="TAU35" s="41"/>
      <c r="TBF35" s="41"/>
      <c r="TBQ35" s="41"/>
      <c r="TCB35" s="41"/>
      <c r="TCM35" s="41"/>
      <c r="TCX35" s="41"/>
      <c r="TDI35" s="41"/>
      <c r="TDT35" s="41"/>
      <c r="TEE35" s="41"/>
      <c r="TEP35" s="41"/>
      <c r="TFA35" s="41"/>
      <c r="TFL35" s="41"/>
      <c r="TFW35" s="41"/>
      <c r="TGH35" s="41"/>
      <c r="TGS35" s="41"/>
      <c r="THD35" s="41"/>
      <c r="THO35" s="41"/>
      <c r="THZ35" s="41"/>
      <c r="TIK35" s="41"/>
      <c r="TIV35" s="41"/>
      <c r="TJG35" s="41"/>
      <c r="TJR35" s="41"/>
      <c r="TKC35" s="41"/>
      <c r="TKN35" s="41"/>
      <c r="TKY35" s="41"/>
      <c r="TLJ35" s="41"/>
      <c r="TLU35" s="41"/>
      <c r="TMF35" s="41"/>
      <c r="TMQ35" s="41"/>
      <c r="TNB35" s="41"/>
      <c r="TNM35" s="41"/>
      <c r="TNX35" s="41"/>
      <c r="TOI35" s="41"/>
      <c r="TOT35" s="41"/>
      <c r="TPE35" s="41"/>
      <c r="TPP35" s="41"/>
      <c r="TQA35" s="41"/>
      <c r="TQL35" s="41"/>
      <c r="TQW35" s="41"/>
      <c r="TRH35" s="41"/>
      <c r="TRS35" s="41"/>
      <c r="TSD35" s="41"/>
      <c r="TSO35" s="41"/>
      <c r="TSZ35" s="41"/>
      <c r="TTK35" s="41"/>
      <c r="TTV35" s="41"/>
      <c r="TUG35" s="41"/>
      <c r="TUR35" s="41"/>
      <c r="TVC35" s="41"/>
      <c r="TVN35" s="41"/>
      <c r="TVY35" s="41"/>
      <c r="TWJ35" s="41"/>
      <c r="TWU35" s="41"/>
      <c r="TXF35" s="41"/>
      <c r="TXQ35" s="41"/>
      <c r="TYB35" s="41"/>
      <c r="TYM35" s="41"/>
      <c r="TYX35" s="41"/>
      <c r="TZI35" s="41"/>
      <c r="TZT35" s="41"/>
      <c r="UAE35" s="41"/>
      <c r="UAP35" s="41"/>
      <c r="UBA35" s="41"/>
      <c r="UBL35" s="41"/>
      <c r="UBW35" s="41"/>
      <c r="UCH35" s="41"/>
      <c r="UCS35" s="41"/>
      <c r="UDD35" s="41"/>
      <c r="UDO35" s="41"/>
      <c r="UDZ35" s="41"/>
      <c r="UEK35" s="41"/>
      <c r="UEV35" s="41"/>
      <c r="UFG35" s="41"/>
      <c r="UFR35" s="41"/>
      <c r="UGC35" s="41"/>
      <c r="UGN35" s="41"/>
      <c r="UGY35" s="41"/>
      <c r="UHJ35" s="41"/>
      <c r="UHU35" s="41"/>
      <c r="UIF35" s="41"/>
      <c r="UIQ35" s="41"/>
      <c r="UJB35" s="41"/>
      <c r="UJM35" s="41"/>
      <c r="UJX35" s="41"/>
      <c r="UKI35" s="41"/>
      <c r="UKT35" s="41"/>
      <c r="ULE35" s="41"/>
      <c r="ULP35" s="41"/>
      <c r="UMA35" s="41"/>
      <c r="UML35" s="41"/>
      <c r="UMW35" s="41"/>
      <c r="UNH35" s="41"/>
      <c r="UNS35" s="41"/>
      <c r="UOD35" s="41"/>
      <c r="UOO35" s="41"/>
      <c r="UOZ35" s="41"/>
      <c r="UPK35" s="41"/>
      <c r="UPV35" s="41"/>
      <c r="UQG35" s="41"/>
      <c r="UQR35" s="41"/>
      <c r="URC35" s="41"/>
      <c r="URN35" s="41"/>
      <c r="URY35" s="41"/>
      <c r="USJ35" s="41"/>
      <c r="USU35" s="41"/>
      <c r="UTF35" s="41"/>
      <c r="UTQ35" s="41"/>
      <c r="UUB35" s="41"/>
      <c r="UUM35" s="41"/>
      <c r="UUX35" s="41"/>
      <c r="UVI35" s="41"/>
      <c r="UVT35" s="41"/>
      <c r="UWE35" s="41"/>
      <c r="UWP35" s="41"/>
      <c r="UXA35" s="41"/>
      <c r="UXL35" s="41"/>
      <c r="UXW35" s="41"/>
      <c r="UYH35" s="41"/>
      <c r="UYS35" s="41"/>
      <c r="UZD35" s="41"/>
      <c r="UZO35" s="41"/>
      <c r="UZZ35" s="41"/>
      <c r="VAK35" s="41"/>
      <c r="VAV35" s="41"/>
      <c r="VBG35" s="41"/>
      <c r="VBR35" s="41"/>
      <c r="VCC35" s="41"/>
      <c r="VCN35" s="41"/>
      <c r="VCY35" s="41"/>
      <c r="VDJ35" s="41"/>
      <c r="VDU35" s="41"/>
      <c r="VEF35" s="41"/>
      <c r="VEQ35" s="41"/>
      <c r="VFB35" s="41"/>
      <c r="VFM35" s="41"/>
      <c r="VFX35" s="41"/>
      <c r="VGI35" s="41"/>
      <c r="VGT35" s="41"/>
      <c r="VHE35" s="41"/>
      <c r="VHP35" s="41"/>
      <c r="VIA35" s="41"/>
      <c r="VIL35" s="41"/>
      <c r="VIW35" s="41"/>
      <c r="VJH35" s="41"/>
      <c r="VJS35" s="41"/>
      <c r="VKD35" s="41"/>
      <c r="VKO35" s="41"/>
      <c r="VKZ35" s="41"/>
      <c r="VLK35" s="41"/>
      <c r="VLV35" s="41"/>
      <c r="VMG35" s="41"/>
      <c r="VMR35" s="41"/>
      <c r="VNC35" s="41"/>
      <c r="VNN35" s="41"/>
      <c r="VNY35" s="41"/>
      <c r="VOJ35" s="41"/>
      <c r="VOU35" s="41"/>
      <c r="VPF35" s="41"/>
      <c r="VPQ35" s="41"/>
      <c r="VQB35" s="41"/>
      <c r="VQM35" s="41"/>
      <c r="VQX35" s="41"/>
      <c r="VRI35" s="41"/>
      <c r="VRT35" s="41"/>
      <c r="VSE35" s="41"/>
      <c r="VSP35" s="41"/>
      <c r="VTA35" s="41"/>
      <c r="VTL35" s="41"/>
      <c r="VTW35" s="41"/>
      <c r="VUH35" s="41"/>
      <c r="VUS35" s="41"/>
      <c r="VVD35" s="41"/>
      <c r="VVO35" s="41"/>
      <c r="VVZ35" s="41"/>
      <c r="VWK35" s="41"/>
      <c r="VWV35" s="41"/>
      <c r="VXG35" s="41"/>
      <c r="VXR35" s="41"/>
      <c r="VYC35" s="41"/>
      <c r="VYN35" s="41"/>
      <c r="VYY35" s="41"/>
      <c r="VZJ35" s="41"/>
      <c r="VZU35" s="41"/>
      <c r="WAF35" s="41"/>
      <c r="WAQ35" s="41"/>
      <c r="WBB35" s="41"/>
      <c r="WBM35" s="41"/>
      <c r="WBX35" s="41"/>
      <c r="WCI35" s="41"/>
      <c r="WCT35" s="41"/>
      <c r="WDE35" s="41"/>
      <c r="WDP35" s="41"/>
      <c r="WEA35" s="41"/>
      <c r="WEL35" s="41"/>
      <c r="WEW35" s="41"/>
      <c r="WFH35" s="41"/>
      <c r="WFS35" s="41"/>
      <c r="WGD35" s="41"/>
      <c r="WGO35" s="41"/>
      <c r="WGZ35" s="41"/>
      <c r="WHK35" s="41"/>
      <c r="WHV35" s="41"/>
      <c r="WIG35" s="41"/>
      <c r="WIR35" s="41"/>
      <c r="WJC35" s="41"/>
      <c r="WJN35" s="41"/>
      <c r="WJY35" s="41"/>
      <c r="WKJ35" s="41"/>
      <c r="WKU35" s="41"/>
      <c r="WLF35" s="41"/>
      <c r="WLQ35" s="41"/>
      <c r="WMB35" s="41"/>
      <c r="WMM35" s="41"/>
      <c r="WMX35" s="41"/>
      <c r="WNI35" s="41"/>
      <c r="WNT35" s="41"/>
      <c r="WOE35" s="41"/>
      <c r="WOP35" s="41"/>
      <c r="WPA35" s="41"/>
      <c r="WPL35" s="41"/>
      <c r="WPW35" s="41"/>
      <c r="WQH35" s="41"/>
      <c r="WQS35" s="41"/>
      <c r="WRD35" s="41"/>
      <c r="WRO35" s="41"/>
      <c r="WRZ35" s="41"/>
      <c r="WSK35" s="41"/>
      <c r="WSV35" s="41"/>
      <c r="WTG35" s="41"/>
      <c r="WTR35" s="41"/>
      <c r="WUC35" s="41"/>
      <c r="WUN35" s="41"/>
      <c r="WUY35" s="41"/>
      <c r="WVJ35" s="41"/>
      <c r="WVU35" s="41"/>
      <c r="WWF35" s="41"/>
      <c r="WWQ35" s="41"/>
      <c r="WXB35" s="41"/>
      <c r="WXM35" s="41"/>
      <c r="WXX35" s="41"/>
      <c r="WYI35" s="41"/>
      <c r="WYT35" s="41"/>
      <c r="WZE35" s="41"/>
      <c r="WZP35" s="41"/>
      <c r="XAA35" s="41"/>
      <c r="XAL35" s="41"/>
      <c r="XAW35" s="41"/>
      <c r="XBH35" s="41"/>
      <c r="XBS35" s="41"/>
      <c r="XCD35" s="41"/>
      <c r="XCO35" s="41"/>
      <c r="XCZ35" s="41"/>
      <c r="XDK35" s="41"/>
      <c r="XDV35" s="41"/>
      <c r="XEG35" s="41"/>
      <c r="XER35" s="41"/>
      <c r="XFC35" s="41"/>
    </row>
    <row r="36" spans="4:1016 1027:2039 2050:3062 3073:4096 4107:5119 5130:6142 6153:7165 7176:8188 8199:9211 9222:10234 10245:11257 11268:12280 12291:13303 13314:14326 14337:15360 15371:16383" s="40" customFormat="1" ht="17.25" customHeight="1">
      <c r="F36" s="41"/>
      <c r="G36"/>
      <c r="H36"/>
      <c r="I36"/>
      <c r="P36" s="221"/>
      <c r="Q36" s="221"/>
      <c r="R36" s="221"/>
      <c r="S36" s="221"/>
      <c r="T36" s="221"/>
      <c r="U36" s="204"/>
      <c r="V36" s="204"/>
      <c r="W36" s="204"/>
      <c r="X36" s="204"/>
      <c r="Y36" s="204"/>
      <c r="Z36" s="204"/>
      <c r="AK36" s="41"/>
      <c r="AV36" s="41"/>
      <c r="BG36" s="41"/>
      <c r="BR36" s="41"/>
      <c r="CC36" s="41"/>
      <c r="CN36" s="41"/>
      <c r="CY36" s="41"/>
      <c r="DJ36" s="41"/>
      <c r="DU36" s="41"/>
      <c r="EF36" s="41"/>
      <c r="EQ36" s="41"/>
      <c r="FB36" s="41"/>
      <c r="FM36" s="41"/>
      <c r="FX36" s="41"/>
      <c r="GI36" s="41"/>
      <c r="GT36" s="41"/>
      <c r="HE36" s="41"/>
      <c r="HP36" s="41"/>
      <c r="IA36" s="41"/>
      <c r="IL36" s="41"/>
      <c r="IW36" s="41"/>
      <c r="JH36" s="41"/>
      <c r="JS36" s="41"/>
      <c r="KD36" s="41"/>
      <c r="KO36" s="41"/>
      <c r="KZ36" s="41"/>
      <c r="LK36" s="41"/>
      <c r="LV36" s="41"/>
      <c r="MG36" s="41"/>
      <c r="MR36" s="41"/>
      <c r="NC36" s="41"/>
      <c r="NN36" s="41"/>
      <c r="NY36" s="41"/>
      <c r="OJ36" s="41"/>
      <c r="OU36" s="41"/>
      <c r="PF36" s="41"/>
      <c r="PQ36" s="41"/>
      <c r="QB36" s="41"/>
      <c r="QM36" s="41"/>
      <c r="QX36" s="41"/>
      <c r="RI36" s="41"/>
      <c r="RT36" s="41"/>
      <c r="SE36" s="41"/>
      <c r="SP36" s="41"/>
      <c r="TA36" s="41"/>
      <c r="TL36" s="41"/>
      <c r="TW36" s="41"/>
      <c r="UH36" s="41"/>
      <c r="US36" s="41"/>
      <c r="VD36" s="41"/>
      <c r="VO36" s="41"/>
      <c r="VZ36" s="41"/>
      <c r="WK36" s="41"/>
      <c r="WV36" s="41"/>
      <c r="XG36" s="41"/>
      <c r="XR36" s="41"/>
      <c r="YC36" s="41"/>
      <c r="YN36" s="41"/>
      <c r="YY36" s="41"/>
      <c r="ZJ36" s="41"/>
      <c r="ZU36" s="41"/>
      <c r="AAF36" s="41"/>
      <c r="AAQ36" s="41"/>
      <c r="ABB36" s="41"/>
      <c r="ABM36" s="41"/>
      <c r="ABX36" s="41"/>
      <c r="ACI36" s="41"/>
      <c r="ACT36" s="41"/>
      <c r="ADE36" s="41"/>
      <c r="ADP36" s="41"/>
      <c r="AEA36" s="41"/>
      <c r="AEL36" s="41"/>
      <c r="AEW36" s="41"/>
      <c r="AFH36" s="41"/>
      <c r="AFS36" s="41"/>
      <c r="AGD36" s="41"/>
      <c r="AGO36" s="41"/>
      <c r="AGZ36" s="41"/>
      <c r="AHK36" s="41"/>
      <c r="AHV36" s="41"/>
      <c r="AIG36" s="41"/>
      <c r="AIR36" s="41"/>
      <c r="AJC36" s="41"/>
      <c r="AJN36" s="41"/>
      <c r="AJY36" s="41"/>
      <c r="AKJ36" s="41"/>
      <c r="AKU36" s="41"/>
      <c r="ALF36" s="41"/>
      <c r="ALQ36" s="41"/>
      <c r="AMB36" s="41"/>
      <c r="AMM36" s="41"/>
      <c r="AMX36" s="41"/>
      <c r="ANI36" s="41"/>
      <c r="ANT36" s="41"/>
      <c r="AOE36" s="41"/>
      <c r="AOP36" s="41"/>
      <c r="APA36" s="41"/>
      <c r="APL36" s="41"/>
      <c r="APW36" s="41"/>
      <c r="AQH36" s="41"/>
      <c r="AQS36" s="41"/>
      <c r="ARD36" s="41"/>
      <c r="ARO36" s="41"/>
      <c r="ARZ36" s="41"/>
      <c r="ASK36" s="41"/>
      <c r="ASV36" s="41"/>
      <c r="ATG36" s="41"/>
      <c r="ATR36" s="41"/>
      <c r="AUC36" s="41"/>
      <c r="AUN36" s="41"/>
      <c r="AUY36" s="41"/>
      <c r="AVJ36" s="41"/>
      <c r="AVU36" s="41"/>
      <c r="AWF36" s="41"/>
      <c r="AWQ36" s="41"/>
      <c r="AXB36" s="41"/>
      <c r="AXM36" s="41"/>
      <c r="AXX36" s="41"/>
      <c r="AYI36" s="41"/>
      <c r="AYT36" s="41"/>
      <c r="AZE36" s="41"/>
      <c r="AZP36" s="41"/>
      <c r="BAA36" s="41"/>
      <c r="BAL36" s="41"/>
      <c r="BAW36" s="41"/>
      <c r="BBH36" s="41"/>
      <c r="BBS36" s="41"/>
      <c r="BCD36" s="41"/>
      <c r="BCO36" s="41"/>
      <c r="BCZ36" s="41"/>
      <c r="BDK36" s="41"/>
      <c r="BDV36" s="41"/>
      <c r="BEG36" s="41"/>
      <c r="BER36" s="41"/>
      <c r="BFC36" s="41"/>
      <c r="BFN36" s="41"/>
      <c r="BFY36" s="41"/>
      <c r="BGJ36" s="41"/>
      <c r="BGU36" s="41"/>
      <c r="BHF36" s="41"/>
      <c r="BHQ36" s="41"/>
      <c r="BIB36" s="41"/>
      <c r="BIM36" s="41"/>
      <c r="BIX36" s="41"/>
      <c r="BJI36" s="41"/>
      <c r="BJT36" s="41"/>
      <c r="BKE36" s="41"/>
      <c r="BKP36" s="41"/>
      <c r="BLA36" s="41"/>
      <c r="BLL36" s="41"/>
      <c r="BLW36" s="41"/>
      <c r="BMH36" s="41"/>
      <c r="BMS36" s="41"/>
      <c r="BND36" s="41"/>
      <c r="BNO36" s="41"/>
      <c r="BNZ36" s="41"/>
      <c r="BOK36" s="41"/>
      <c r="BOV36" s="41"/>
      <c r="BPG36" s="41"/>
      <c r="BPR36" s="41"/>
      <c r="BQC36" s="41"/>
      <c r="BQN36" s="41"/>
      <c r="BQY36" s="41"/>
      <c r="BRJ36" s="41"/>
      <c r="BRU36" s="41"/>
      <c r="BSF36" s="41"/>
      <c r="BSQ36" s="41"/>
      <c r="BTB36" s="41"/>
      <c r="BTM36" s="41"/>
      <c r="BTX36" s="41"/>
      <c r="BUI36" s="41"/>
      <c r="BUT36" s="41"/>
      <c r="BVE36" s="41"/>
      <c r="BVP36" s="41"/>
      <c r="BWA36" s="41"/>
      <c r="BWL36" s="41"/>
      <c r="BWW36" s="41"/>
      <c r="BXH36" s="41"/>
      <c r="BXS36" s="41"/>
      <c r="BYD36" s="41"/>
      <c r="BYO36" s="41"/>
      <c r="BYZ36" s="41"/>
      <c r="BZK36" s="41"/>
      <c r="BZV36" s="41"/>
      <c r="CAG36" s="41"/>
      <c r="CAR36" s="41"/>
      <c r="CBC36" s="41"/>
      <c r="CBN36" s="41"/>
      <c r="CBY36" s="41"/>
      <c r="CCJ36" s="41"/>
      <c r="CCU36" s="41"/>
      <c r="CDF36" s="41"/>
      <c r="CDQ36" s="41"/>
      <c r="CEB36" s="41"/>
      <c r="CEM36" s="41"/>
      <c r="CEX36" s="41"/>
      <c r="CFI36" s="41"/>
      <c r="CFT36" s="41"/>
      <c r="CGE36" s="41"/>
      <c r="CGP36" s="41"/>
      <c r="CHA36" s="41"/>
      <c r="CHL36" s="41"/>
      <c r="CHW36" s="41"/>
      <c r="CIH36" s="41"/>
      <c r="CIS36" s="41"/>
      <c r="CJD36" s="41"/>
      <c r="CJO36" s="41"/>
      <c r="CJZ36" s="41"/>
      <c r="CKK36" s="41"/>
      <c r="CKV36" s="41"/>
      <c r="CLG36" s="41"/>
      <c r="CLR36" s="41"/>
      <c r="CMC36" s="41"/>
      <c r="CMN36" s="41"/>
      <c r="CMY36" s="41"/>
      <c r="CNJ36" s="41"/>
      <c r="CNU36" s="41"/>
      <c r="COF36" s="41"/>
      <c r="COQ36" s="41"/>
      <c r="CPB36" s="41"/>
      <c r="CPM36" s="41"/>
      <c r="CPX36" s="41"/>
      <c r="CQI36" s="41"/>
      <c r="CQT36" s="41"/>
      <c r="CRE36" s="41"/>
      <c r="CRP36" s="41"/>
      <c r="CSA36" s="41"/>
      <c r="CSL36" s="41"/>
      <c r="CSW36" s="41"/>
      <c r="CTH36" s="41"/>
      <c r="CTS36" s="41"/>
      <c r="CUD36" s="41"/>
      <c r="CUO36" s="41"/>
      <c r="CUZ36" s="41"/>
      <c r="CVK36" s="41"/>
      <c r="CVV36" s="41"/>
      <c r="CWG36" s="41"/>
      <c r="CWR36" s="41"/>
      <c r="CXC36" s="41"/>
      <c r="CXN36" s="41"/>
      <c r="CXY36" s="41"/>
      <c r="CYJ36" s="41"/>
      <c r="CYU36" s="41"/>
      <c r="CZF36" s="41"/>
      <c r="CZQ36" s="41"/>
      <c r="DAB36" s="41"/>
      <c r="DAM36" s="41"/>
      <c r="DAX36" s="41"/>
      <c r="DBI36" s="41"/>
      <c r="DBT36" s="41"/>
      <c r="DCE36" s="41"/>
      <c r="DCP36" s="41"/>
      <c r="DDA36" s="41"/>
      <c r="DDL36" s="41"/>
      <c r="DDW36" s="41"/>
      <c r="DEH36" s="41"/>
      <c r="DES36" s="41"/>
      <c r="DFD36" s="41"/>
      <c r="DFO36" s="41"/>
      <c r="DFZ36" s="41"/>
      <c r="DGK36" s="41"/>
      <c r="DGV36" s="41"/>
      <c r="DHG36" s="41"/>
      <c r="DHR36" s="41"/>
      <c r="DIC36" s="41"/>
      <c r="DIN36" s="41"/>
      <c r="DIY36" s="41"/>
      <c r="DJJ36" s="41"/>
      <c r="DJU36" s="41"/>
      <c r="DKF36" s="41"/>
      <c r="DKQ36" s="41"/>
      <c r="DLB36" s="41"/>
      <c r="DLM36" s="41"/>
      <c r="DLX36" s="41"/>
      <c r="DMI36" s="41"/>
      <c r="DMT36" s="41"/>
      <c r="DNE36" s="41"/>
      <c r="DNP36" s="41"/>
      <c r="DOA36" s="41"/>
      <c r="DOL36" s="41"/>
      <c r="DOW36" s="41"/>
      <c r="DPH36" s="41"/>
      <c r="DPS36" s="41"/>
      <c r="DQD36" s="41"/>
      <c r="DQO36" s="41"/>
      <c r="DQZ36" s="41"/>
      <c r="DRK36" s="41"/>
      <c r="DRV36" s="41"/>
      <c r="DSG36" s="41"/>
      <c r="DSR36" s="41"/>
      <c r="DTC36" s="41"/>
      <c r="DTN36" s="41"/>
      <c r="DTY36" s="41"/>
      <c r="DUJ36" s="41"/>
      <c r="DUU36" s="41"/>
      <c r="DVF36" s="41"/>
      <c r="DVQ36" s="41"/>
      <c r="DWB36" s="41"/>
      <c r="DWM36" s="41"/>
      <c r="DWX36" s="41"/>
      <c r="DXI36" s="41"/>
      <c r="DXT36" s="41"/>
      <c r="DYE36" s="41"/>
      <c r="DYP36" s="41"/>
      <c r="DZA36" s="41"/>
      <c r="DZL36" s="41"/>
      <c r="DZW36" s="41"/>
      <c r="EAH36" s="41"/>
      <c r="EAS36" s="41"/>
      <c r="EBD36" s="41"/>
      <c r="EBO36" s="41"/>
      <c r="EBZ36" s="41"/>
      <c r="ECK36" s="41"/>
      <c r="ECV36" s="41"/>
      <c r="EDG36" s="41"/>
      <c r="EDR36" s="41"/>
      <c r="EEC36" s="41"/>
      <c r="EEN36" s="41"/>
      <c r="EEY36" s="41"/>
      <c r="EFJ36" s="41"/>
      <c r="EFU36" s="41"/>
      <c r="EGF36" s="41"/>
      <c r="EGQ36" s="41"/>
      <c r="EHB36" s="41"/>
      <c r="EHM36" s="41"/>
      <c r="EHX36" s="41"/>
      <c r="EII36" s="41"/>
      <c r="EIT36" s="41"/>
      <c r="EJE36" s="41"/>
      <c r="EJP36" s="41"/>
      <c r="EKA36" s="41"/>
      <c r="EKL36" s="41"/>
      <c r="EKW36" s="41"/>
      <c r="ELH36" s="41"/>
      <c r="ELS36" s="41"/>
      <c r="EMD36" s="41"/>
      <c r="EMO36" s="41"/>
      <c r="EMZ36" s="41"/>
      <c r="ENK36" s="41"/>
      <c r="ENV36" s="41"/>
      <c r="EOG36" s="41"/>
      <c r="EOR36" s="41"/>
      <c r="EPC36" s="41"/>
      <c r="EPN36" s="41"/>
      <c r="EPY36" s="41"/>
      <c r="EQJ36" s="41"/>
      <c r="EQU36" s="41"/>
      <c r="ERF36" s="41"/>
      <c r="ERQ36" s="41"/>
      <c r="ESB36" s="41"/>
      <c r="ESM36" s="41"/>
      <c r="ESX36" s="41"/>
      <c r="ETI36" s="41"/>
      <c r="ETT36" s="41"/>
      <c r="EUE36" s="41"/>
      <c r="EUP36" s="41"/>
      <c r="EVA36" s="41"/>
      <c r="EVL36" s="41"/>
      <c r="EVW36" s="41"/>
      <c r="EWH36" s="41"/>
      <c r="EWS36" s="41"/>
      <c r="EXD36" s="41"/>
      <c r="EXO36" s="41"/>
      <c r="EXZ36" s="41"/>
      <c r="EYK36" s="41"/>
      <c r="EYV36" s="41"/>
      <c r="EZG36" s="41"/>
      <c r="EZR36" s="41"/>
      <c r="FAC36" s="41"/>
      <c r="FAN36" s="41"/>
      <c r="FAY36" s="41"/>
      <c r="FBJ36" s="41"/>
      <c r="FBU36" s="41"/>
      <c r="FCF36" s="41"/>
      <c r="FCQ36" s="41"/>
      <c r="FDB36" s="41"/>
      <c r="FDM36" s="41"/>
      <c r="FDX36" s="41"/>
      <c r="FEI36" s="41"/>
      <c r="FET36" s="41"/>
      <c r="FFE36" s="41"/>
      <c r="FFP36" s="41"/>
      <c r="FGA36" s="41"/>
      <c r="FGL36" s="41"/>
      <c r="FGW36" s="41"/>
      <c r="FHH36" s="41"/>
      <c r="FHS36" s="41"/>
      <c r="FID36" s="41"/>
      <c r="FIO36" s="41"/>
      <c r="FIZ36" s="41"/>
      <c r="FJK36" s="41"/>
      <c r="FJV36" s="41"/>
      <c r="FKG36" s="41"/>
      <c r="FKR36" s="41"/>
      <c r="FLC36" s="41"/>
      <c r="FLN36" s="41"/>
      <c r="FLY36" s="41"/>
      <c r="FMJ36" s="41"/>
      <c r="FMU36" s="41"/>
      <c r="FNF36" s="41"/>
      <c r="FNQ36" s="41"/>
      <c r="FOB36" s="41"/>
      <c r="FOM36" s="41"/>
      <c r="FOX36" s="41"/>
      <c r="FPI36" s="41"/>
      <c r="FPT36" s="41"/>
      <c r="FQE36" s="41"/>
      <c r="FQP36" s="41"/>
      <c r="FRA36" s="41"/>
      <c r="FRL36" s="41"/>
      <c r="FRW36" s="41"/>
      <c r="FSH36" s="41"/>
      <c r="FSS36" s="41"/>
      <c r="FTD36" s="41"/>
      <c r="FTO36" s="41"/>
      <c r="FTZ36" s="41"/>
      <c r="FUK36" s="41"/>
      <c r="FUV36" s="41"/>
      <c r="FVG36" s="41"/>
      <c r="FVR36" s="41"/>
      <c r="FWC36" s="41"/>
      <c r="FWN36" s="41"/>
      <c r="FWY36" s="41"/>
      <c r="FXJ36" s="41"/>
      <c r="FXU36" s="41"/>
      <c r="FYF36" s="41"/>
      <c r="FYQ36" s="41"/>
      <c r="FZB36" s="41"/>
      <c r="FZM36" s="41"/>
      <c r="FZX36" s="41"/>
      <c r="GAI36" s="41"/>
      <c r="GAT36" s="41"/>
      <c r="GBE36" s="41"/>
      <c r="GBP36" s="41"/>
      <c r="GCA36" s="41"/>
      <c r="GCL36" s="41"/>
      <c r="GCW36" s="41"/>
      <c r="GDH36" s="41"/>
      <c r="GDS36" s="41"/>
      <c r="GED36" s="41"/>
      <c r="GEO36" s="41"/>
      <c r="GEZ36" s="41"/>
      <c r="GFK36" s="41"/>
      <c r="GFV36" s="41"/>
      <c r="GGG36" s="41"/>
      <c r="GGR36" s="41"/>
      <c r="GHC36" s="41"/>
      <c r="GHN36" s="41"/>
      <c r="GHY36" s="41"/>
      <c r="GIJ36" s="41"/>
      <c r="GIU36" s="41"/>
      <c r="GJF36" s="41"/>
      <c r="GJQ36" s="41"/>
      <c r="GKB36" s="41"/>
      <c r="GKM36" s="41"/>
      <c r="GKX36" s="41"/>
      <c r="GLI36" s="41"/>
      <c r="GLT36" s="41"/>
      <c r="GME36" s="41"/>
      <c r="GMP36" s="41"/>
      <c r="GNA36" s="41"/>
      <c r="GNL36" s="41"/>
      <c r="GNW36" s="41"/>
      <c r="GOH36" s="41"/>
      <c r="GOS36" s="41"/>
      <c r="GPD36" s="41"/>
      <c r="GPO36" s="41"/>
      <c r="GPZ36" s="41"/>
      <c r="GQK36" s="41"/>
      <c r="GQV36" s="41"/>
      <c r="GRG36" s="41"/>
      <c r="GRR36" s="41"/>
      <c r="GSC36" s="41"/>
      <c r="GSN36" s="41"/>
      <c r="GSY36" s="41"/>
      <c r="GTJ36" s="41"/>
      <c r="GTU36" s="41"/>
      <c r="GUF36" s="41"/>
      <c r="GUQ36" s="41"/>
      <c r="GVB36" s="41"/>
      <c r="GVM36" s="41"/>
      <c r="GVX36" s="41"/>
      <c r="GWI36" s="41"/>
      <c r="GWT36" s="41"/>
      <c r="GXE36" s="41"/>
      <c r="GXP36" s="41"/>
      <c r="GYA36" s="41"/>
      <c r="GYL36" s="41"/>
      <c r="GYW36" s="41"/>
      <c r="GZH36" s="41"/>
      <c r="GZS36" s="41"/>
      <c r="HAD36" s="41"/>
      <c r="HAO36" s="41"/>
      <c r="HAZ36" s="41"/>
      <c r="HBK36" s="41"/>
      <c r="HBV36" s="41"/>
      <c r="HCG36" s="41"/>
      <c r="HCR36" s="41"/>
      <c r="HDC36" s="41"/>
      <c r="HDN36" s="41"/>
      <c r="HDY36" s="41"/>
      <c r="HEJ36" s="41"/>
      <c r="HEU36" s="41"/>
      <c r="HFF36" s="41"/>
      <c r="HFQ36" s="41"/>
      <c r="HGB36" s="41"/>
      <c r="HGM36" s="41"/>
      <c r="HGX36" s="41"/>
      <c r="HHI36" s="41"/>
      <c r="HHT36" s="41"/>
      <c r="HIE36" s="41"/>
      <c r="HIP36" s="41"/>
      <c r="HJA36" s="41"/>
      <c r="HJL36" s="41"/>
      <c r="HJW36" s="41"/>
      <c r="HKH36" s="41"/>
      <c r="HKS36" s="41"/>
      <c r="HLD36" s="41"/>
      <c r="HLO36" s="41"/>
      <c r="HLZ36" s="41"/>
      <c r="HMK36" s="41"/>
      <c r="HMV36" s="41"/>
      <c r="HNG36" s="41"/>
      <c r="HNR36" s="41"/>
      <c r="HOC36" s="41"/>
      <c r="HON36" s="41"/>
      <c r="HOY36" s="41"/>
      <c r="HPJ36" s="41"/>
      <c r="HPU36" s="41"/>
      <c r="HQF36" s="41"/>
      <c r="HQQ36" s="41"/>
      <c r="HRB36" s="41"/>
      <c r="HRM36" s="41"/>
      <c r="HRX36" s="41"/>
      <c r="HSI36" s="41"/>
      <c r="HST36" s="41"/>
      <c r="HTE36" s="41"/>
      <c r="HTP36" s="41"/>
      <c r="HUA36" s="41"/>
      <c r="HUL36" s="41"/>
      <c r="HUW36" s="41"/>
      <c r="HVH36" s="41"/>
      <c r="HVS36" s="41"/>
      <c r="HWD36" s="41"/>
      <c r="HWO36" s="41"/>
      <c r="HWZ36" s="41"/>
      <c r="HXK36" s="41"/>
      <c r="HXV36" s="41"/>
      <c r="HYG36" s="41"/>
      <c r="HYR36" s="41"/>
      <c r="HZC36" s="41"/>
      <c r="HZN36" s="41"/>
      <c r="HZY36" s="41"/>
      <c r="IAJ36" s="41"/>
      <c r="IAU36" s="41"/>
      <c r="IBF36" s="41"/>
      <c r="IBQ36" s="41"/>
      <c r="ICB36" s="41"/>
      <c r="ICM36" s="41"/>
      <c r="ICX36" s="41"/>
      <c r="IDI36" s="41"/>
      <c r="IDT36" s="41"/>
      <c r="IEE36" s="41"/>
      <c r="IEP36" s="41"/>
      <c r="IFA36" s="41"/>
      <c r="IFL36" s="41"/>
      <c r="IFW36" s="41"/>
      <c r="IGH36" s="41"/>
      <c r="IGS36" s="41"/>
      <c r="IHD36" s="41"/>
      <c r="IHO36" s="41"/>
      <c r="IHZ36" s="41"/>
      <c r="IIK36" s="41"/>
      <c r="IIV36" s="41"/>
      <c r="IJG36" s="41"/>
      <c r="IJR36" s="41"/>
      <c r="IKC36" s="41"/>
      <c r="IKN36" s="41"/>
      <c r="IKY36" s="41"/>
      <c r="ILJ36" s="41"/>
      <c r="ILU36" s="41"/>
      <c r="IMF36" s="41"/>
      <c r="IMQ36" s="41"/>
      <c r="INB36" s="41"/>
      <c r="INM36" s="41"/>
      <c r="INX36" s="41"/>
      <c r="IOI36" s="41"/>
      <c r="IOT36" s="41"/>
      <c r="IPE36" s="41"/>
      <c r="IPP36" s="41"/>
      <c r="IQA36" s="41"/>
      <c r="IQL36" s="41"/>
      <c r="IQW36" s="41"/>
      <c r="IRH36" s="41"/>
      <c r="IRS36" s="41"/>
      <c r="ISD36" s="41"/>
      <c r="ISO36" s="41"/>
      <c r="ISZ36" s="41"/>
      <c r="ITK36" s="41"/>
      <c r="ITV36" s="41"/>
      <c r="IUG36" s="41"/>
      <c r="IUR36" s="41"/>
      <c r="IVC36" s="41"/>
      <c r="IVN36" s="41"/>
      <c r="IVY36" s="41"/>
      <c r="IWJ36" s="41"/>
      <c r="IWU36" s="41"/>
      <c r="IXF36" s="41"/>
      <c r="IXQ36" s="41"/>
      <c r="IYB36" s="41"/>
      <c r="IYM36" s="41"/>
      <c r="IYX36" s="41"/>
      <c r="IZI36" s="41"/>
      <c r="IZT36" s="41"/>
      <c r="JAE36" s="41"/>
      <c r="JAP36" s="41"/>
      <c r="JBA36" s="41"/>
      <c r="JBL36" s="41"/>
      <c r="JBW36" s="41"/>
      <c r="JCH36" s="41"/>
      <c r="JCS36" s="41"/>
      <c r="JDD36" s="41"/>
      <c r="JDO36" s="41"/>
      <c r="JDZ36" s="41"/>
      <c r="JEK36" s="41"/>
      <c r="JEV36" s="41"/>
      <c r="JFG36" s="41"/>
      <c r="JFR36" s="41"/>
      <c r="JGC36" s="41"/>
      <c r="JGN36" s="41"/>
      <c r="JGY36" s="41"/>
      <c r="JHJ36" s="41"/>
      <c r="JHU36" s="41"/>
      <c r="JIF36" s="41"/>
      <c r="JIQ36" s="41"/>
      <c r="JJB36" s="41"/>
      <c r="JJM36" s="41"/>
      <c r="JJX36" s="41"/>
      <c r="JKI36" s="41"/>
      <c r="JKT36" s="41"/>
      <c r="JLE36" s="41"/>
      <c r="JLP36" s="41"/>
      <c r="JMA36" s="41"/>
      <c r="JML36" s="41"/>
      <c r="JMW36" s="41"/>
      <c r="JNH36" s="41"/>
      <c r="JNS36" s="41"/>
      <c r="JOD36" s="41"/>
      <c r="JOO36" s="41"/>
      <c r="JOZ36" s="41"/>
      <c r="JPK36" s="41"/>
      <c r="JPV36" s="41"/>
      <c r="JQG36" s="41"/>
      <c r="JQR36" s="41"/>
      <c r="JRC36" s="41"/>
      <c r="JRN36" s="41"/>
      <c r="JRY36" s="41"/>
      <c r="JSJ36" s="41"/>
      <c r="JSU36" s="41"/>
      <c r="JTF36" s="41"/>
      <c r="JTQ36" s="41"/>
      <c r="JUB36" s="41"/>
      <c r="JUM36" s="41"/>
      <c r="JUX36" s="41"/>
      <c r="JVI36" s="41"/>
      <c r="JVT36" s="41"/>
      <c r="JWE36" s="41"/>
      <c r="JWP36" s="41"/>
      <c r="JXA36" s="41"/>
      <c r="JXL36" s="41"/>
      <c r="JXW36" s="41"/>
      <c r="JYH36" s="41"/>
      <c r="JYS36" s="41"/>
      <c r="JZD36" s="41"/>
      <c r="JZO36" s="41"/>
      <c r="JZZ36" s="41"/>
      <c r="KAK36" s="41"/>
      <c r="KAV36" s="41"/>
      <c r="KBG36" s="41"/>
      <c r="KBR36" s="41"/>
      <c r="KCC36" s="41"/>
      <c r="KCN36" s="41"/>
      <c r="KCY36" s="41"/>
      <c r="KDJ36" s="41"/>
      <c r="KDU36" s="41"/>
      <c r="KEF36" s="41"/>
      <c r="KEQ36" s="41"/>
      <c r="KFB36" s="41"/>
      <c r="KFM36" s="41"/>
      <c r="KFX36" s="41"/>
      <c r="KGI36" s="41"/>
      <c r="KGT36" s="41"/>
      <c r="KHE36" s="41"/>
      <c r="KHP36" s="41"/>
      <c r="KIA36" s="41"/>
      <c r="KIL36" s="41"/>
      <c r="KIW36" s="41"/>
      <c r="KJH36" s="41"/>
      <c r="KJS36" s="41"/>
      <c r="KKD36" s="41"/>
      <c r="KKO36" s="41"/>
      <c r="KKZ36" s="41"/>
      <c r="KLK36" s="41"/>
      <c r="KLV36" s="41"/>
      <c r="KMG36" s="41"/>
      <c r="KMR36" s="41"/>
      <c r="KNC36" s="41"/>
      <c r="KNN36" s="41"/>
      <c r="KNY36" s="41"/>
      <c r="KOJ36" s="41"/>
      <c r="KOU36" s="41"/>
      <c r="KPF36" s="41"/>
      <c r="KPQ36" s="41"/>
      <c r="KQB36" s="41"/>
      <c r="KQM36" s="41"/>
      <c r="KQX36" s="41"/>
      <c r="KRI36" s="41"/>
      <c r="KRT36" s="41"/>
      <c r="KSE36" s="41"/>
      <c r="KSP36" s="41"/>
      <c r="KTA36" s="41"/>
      <c r="KTL36" s="41"/>
      <c r="KTW36" s="41"/>
      <c r="KUH36" s="41"/>
      <c r="KUS36" s="41"/>
      <c r="KVD36" s="41"/>
      <c r="KVO36" s="41"/>
      <c r="KVZ36" s="41"/>
      <c r="KWK36" s="41"/>
      <c r="KWV36" s="41"/>
      <c r="KXG36" s="41"/>
      <c r="KXR36" s="41"/>
      <c r="KYC36" s="41"/>
      <c r="KYN36" s="41"/>
      <c r="KYY36" s="41"/>
      <c r="KZJ36" s="41"/>
      <c r="KZU36" s="41"/>
      <c r="LAF36" s="41"/>
      <c r="LAQ36" s="41"/>
      <c r="LBB36" s="41"/>
      <c r="LBM36" s="41"/>
      <c r="LBX36" s="41"/>
      <c r="LCI36" s="41"/>
      <c r="LCT36" s="41"/>
      <c r="LDE36" s="41"/>
      <c r="LDP36" s="41"/>
      <c r="LEA36" s="41"/>
      <c r="LEL36" s="41"/>
      <c r="LEW36" s="41"/>
      <c r="LFH36" s="41"/>
      <c r="LFS36" s="41"/>
      <c r="LGD36" s="41"/>
      <c r="LGO36" s="41"/>
      <c r="LGZ36" s="41"/>
      <c r="LHK36" s="41"/>
      <c r="LHV36" s="41"/>
      <c r="LIG36" s="41"/>
      <c r="LIR36" s="41"/>
      <c r="LJC36" s="41"/>
      <c r="LJN36" s="41"/>
      <c r="LJY36" s="41"/>
      <c r="LKJ36" s="41"/>
      <c r="LKU36" s="41"/>
      <c r="LLF36" s="41"/>
      <c r="LLQ36" s="41"/>
      <c r="LMB36" s="41"/>
      <c r="LMM36" s="41"/>
      <c r="LMX36" s="41"/>
      <c r="LNI36" s="41"/>
      <c r="LNT36" s="41"/>
      <c r="LOE36" s="41"/>
      <c r="LOP36" s="41"/>
      <c r="LPA36" s="41"/>
      <c r="LPL36" s="41"/>
      <c r="LPW36" s="41"/>
      <c r="LQH36" s="41"/>
      <c r="LQS36" s="41"/>
      <c r="LRD36" s="41"/>
      <c r="LRO36" s="41"/>
      <c r="LRZ36" s="41"/>
      <c r="LSK36" s="41"/>
      <c r="LSV36" s="41"/>
      <c r="LTG36" s="41"/>
      <c r="LTR36" s="41"/>
      <c r="LUC36" s="41"/>
      <c r="LUN36" s="41"/>
      <c r="LUY36" s="41"/>
      <c r="LVJ36" s="41"/>
      <c r="LVU36" s="41"/>
      <c r="LWF36" s="41"/>
      <c r="LWQ36" s="41"/>
      <c r="LXB36" s="41"/>
      <c r="LXM36" s="41"/>
      <c r="LXX36" s="41"/>
      <c r="LYI36" s="41"/>
      <c r="LYT36" s="41"/>
      <c r="LZE36" s="41"/>
      <c r="LZP36" s="41"/>
      <c r="MAA36" s="41"/>
      <c r="MAL36" s="41"/>
      <c r="MAW36" s="41"/>
      <c r="MBH36" s="41"/>
      <c r="MBS36" s="41"/>
      <c r="MCD36" s="41"/>
      <c r="MCO36" s="41"/>
      <c r="MCZ36" s="41"/>
      <c r="MDK36" s="41"/>
      <c r="MDV36" s="41"/>
      <c r="MEG36" s="41"/>
      <c r="MER36" s="41"/>
      <c r="MFC36" s="41"/>
      <c r="MFN36" s="41"/>
      <c r="MFY36" s="41"/>
      <c r="MGJ36" s="41"/>
      <c r="MGU36" s="41"/>
      <c r="MHF36" s="41"/>
      <c r="MHQ36" s="41"/>
      <c r="MIB36" s="41"/>
      <c r="MIM36" s="41"/>
      <c r="MIX36" s="41"/>
      <c r="MJI36" s="41"/>
      <c r="MJT36" s="41"/>
      <c r="MKE36" s="41"/>
      <c r="MKP36" s="41"/>
      <c r="MLA36" s="41"/>
      <c r="MLL36" s="41"/>
      <c r="MLW36" s="41"/>
      <c r="MMH36" s="41"/>
      <c r="MMS36" s="41"/>
      <c r="MND36" s="41"/>
      <c r="MNO36" s="41"/>
      <c r="MNZ36" s="41"/>
      <c r="MOK36" s="41"/>
      <c r="MOV36" s="41"/>
      <c r="MPG36" s="41"/>
      <c r="MPR36" s="41"/>
      <c r="MQC36" s="41"/>
      <c r="MQN36" s="41"/>
      <c r="MQY36" s="41"/>
      <c r="MRJ36" s="41"/>
      <c r="MRU36" s="41"/>
      <c r="MSF36" s="41"/>
      <c r="MSQ36" s="41"/>
      <c r="MTB36" s="41"/>
      <c r="MTM36" s="41"/>
      <c r="MTX36" s="41"/>
      <c r="MUI36" s="41"/>
      <c r="MUT36" s="41"/>
      <c r="MVE36" s="41"/>
      <c r="MVP36" s="41"/>
      <c r="MWA36" s="41"/>
      <c r="MWL36" s="41"/>
      <c r="MWW36" s="41"/>
      <c r="MXH36" s="41"/>
      <c r="MXS36" s="41"/>
      <c r="MYD36" s="41"/>
      <c r="MYO36" s="41"/>
      <c r="MYZ36" s="41"/>
      <c r="MZK36" s="41"/>
      <c r="MZV36" s="41"/>
      <c r="NAG36" s="41"/>
      <c r="NAR36" s="41"/>
      <c r="NBC36" s="41"/>
      <c r="NBN36" s="41"/>
      <c r="NBY36" s="41"/>
      <c r="NCJ36" s="41"/>
      <c r="NCU36" s="41"/>
      <c r="NDF36" s="41"/>
      <c r="NDQ36" s="41"/>
      <c r="NEB36" s="41"/>
      <c r="NEM36" s="41"/>
      <c r="NEX36" s="41"/>
      <c r="NFI36" s="41"/>
      <c r="NFT36" s="41"/>
      <c r="NGE36" s="41"/>
      <c r="NGP36" s="41"/>
      <c r="NHA36" s="41"/>
      <c r="NHL36" s="41"/>
      <c r="NHW36" s="41"/>
      <c r="NIH36" s="41"/>
      <c r="NIS36" s="41"/>
      <c r="NJD36" s="41"/>
      <c r="NJO36" s="41"/>
      <c r="NJZ36" s="41"/>
      <c r="NKK36" s="41"/>
      <c r="NKV36" s="41"/>
      <c r="NLG36" s="41"/>
      <c r="NLR36" s="41"/>
      <c r="NMC36" s="41"/>
      <c r="NMN36" s="41"/>
      <c r="NMY36" s="41"/>
      <c r="NNJ36" s="41"/>
      <c r="NNU36" s="41"/>
      <c r="NOF36" s="41"/>
      <c r="NOQ36" s="41"/>
      <c r="NPB36" s="41"/>
      <c r="NPM36" s="41"/>
      <c r="NPX36" s="41"/>
      <c r="NQI36" s="41"/>
      <c r="NQT36" s="41"/>
      <c r="NRE36" s="41"/>
      <c r="NRP36" s="41"/>
      <c r="NSA36" s="41"/>
      <c r="NSL36" s="41"/>
      <c r="NSW36" s="41"/>
      <c r="NTH36" s="41"/>
      <c r="NTS36" s="41"/>
      <c r="NUD36" s="41"/>
      <c r="NUO36" s="41"/>
      <c r="NUZ36" s="41"/>
      <c r="NVK36" s="41"/>
      <c r="NVV36" s="41"/>
      <c r="NWG36" s="41"/>
      <c r="NWR36" s="41"/>
      <c r="NXC36" s="41"/>
      <c r="NXN36" s="41"/>
      <c r="NXY36" s="41"/>
      <c r="NYJ36" s="41"/>
      <c r="NYU36" s="41"/>
      <c r="NZF36" s="41"/>
      <c r="NZQ36" s="41"/>
      <c r="OAB36" s="41"/>
      <c r="OAM36" s="41"/>
      <c r="OAX36" s="41"/>
      <c r="OBI36" s="41"/>
      <c r="OBT36" s="41"/>
      <c r="OCE36" s="41"/>
      <c r="OCP36" s="41"/>
      <c r="ODA36" s="41"/>
      <c r="ODL36" s="41"/>
      <c r="ODW36" s="41"/>
      <c r="OEH36" s="41"/>
      <c r="OES36" s="41"/>
      <c r="OFD36" s="41"/>
      <c r="OFO36" s="41"/>
      <c r="OFZ36" s="41"/>
      <c r="OGK36" s="41"/>
      <c r="OGV36" s="41"/>
      <c r="OHG36" s="41"/>
      <c r="OHR36" s="41"/>
      <c r="OIC36" s="41"/>
      <c r="OIN36" s="41"/>
      <c r="OIY36" s="41"/>
      <c r="OJJ36" s="41"/>
      <c r="OJU36" s="41"/>
      <c r="OKF36" s="41"/>
      <c r="OKQ36" s="41"/>
      <c r="OLB36" s="41"/>
      <c r="OLM36" s="41"/>
      <c r="OLX36" s="41"/>
      <c r="OMI36" s="41"/>
      <c r="OMT36" s="41"/>
      <c r="ONE36" s="41"/>
      <c r="ONP36" s="41"/>
      <c r="OOA36" s="41"/>
      <c r="OOL36" s="41"/>
      <c r="OOW36" s="41"/>
      <c r="OPH36" s="41"/>
      <c r="OPS36" s="41"/>
      <c r="OQD36" s="41"/>
      <c r="OQO36" s="41"/>
      <c r="OQZ36" s="41"/>
      <c r="ORK36" s="41"/>
      <c r="ORV36" s="41"/>
      <c r="OSG36" s="41"/>
      <c r="OSR36" s="41"/>
      <c r="OTC36" s="41"/>
      <c r="OTN36" s="41"/>
      <c r="OTY36" s="41"/>
      <c r="OUJ36" s="41"/>
      <c r="OUU36" s="41"/>
      <c r="OVF36" s="41"/>
      <c r="OVQ36" s="41"/>
      <c r="OWB36" s="41"/>
      <c r="OWM36" s="41"/>
      <c r="OWX36" s="41"/>
      <c r="OXI36" s="41"/>
      <c r="OXT36" s="41"/>
      <c r="OYE36" s="41"/>
      <c r="OYP36" s="41"/>
      <c r="OZA36" s="41"/>
      <c r="OZL36" s="41"/>
      <c r="OZW36" s="41"/>
      <c r="PAH36" s="41"/>
      <c r="PAS36" s="41"/>
      <c r="PBD36" s="41"/>
      <c r="PBO36" s="41"/>
      <c r="PBZ36" s="41"/>
      <c r="PCK36" s="41"/>
      <c r="PCV36" s="41"/>
      <c r="PDG36" s="41"/>
      <c r="PDR36" s="41"/>
      <c r="PEC36" s="41"/>
      <c r="PEN36" s="41"/>
      <c r="PEY36" s="41"/>
      <c r="PFJ36" s="41"/>
      <c r="PFU36" s="41"/>
      <c r="PGF36" s="41"/>
      <c r="PGQ36" s="41"/>
      <c r="PHB36" s="41"/>
      <c r="PHM36" s="41"/>
      <c r="PHX36" s="41"/>
      <c r="PII36" s="41"/>
      <c r="PIT36" s="41"/>
      <c r="PJE36" s="41"/>
      <c r="PJP36" s="41"/>
      <c r="PKA36" s="41"/>
      <c r="PKL36" s="41"/>
      <c r="PKW36" s="41"/>
      <c r="PLH36" s="41"/>
      <c r="PLS36" s="41"/>
      <c r="PMD36" s="41"/>
      <c r="PMO36" s="41"/>
      <c r="PMZ36" s="41"/>
      <c r="PNK36" s="41"/>
      <c r="PNV36" s="41"/>
      <c r="POG36" s="41"/>
      <c r="POR36" s="41"/>
      <c r="PPC36" s="41"/>
      <c r="PPN36" s="41"/>
      <c r="PPY36" s="41"/>
      <c r="PQJ36" s="41"/>
      <c r="PQU36" s="41"/>
      <c r="PRF36" s="41"/>
      <c r="PRQ36" s="41"/>
      <c r="PSB36" s="41"/>
      <c r="PSM36" s="41"/>
      <c r="PSX36" s="41"/>
      <c r="PTI36" s="41"/>
      <c r="PTT36" s="41"/>
      <c r="PUE36" s="41"/>
      <c r="PUP36" s="41"/>
      <c r="PVA36" s="41"/>
      <c r="PVL36" s="41"/>
      <c r="PVW36" s="41"/>
      <c r="PWH36" s="41"/>
      <c r="PWS36" s="41"/>
      <c r="PXD36" s="41"/>
      <c r="PXO36" s="41"/>
      <c r="PXZ36" s="41"/>
      <c r="PYK36" s="41"/>
      <c r="PYV36" s="41"/>
      <c r="PZG36" s="41"/>
      <c r="PZR36" s="41"/>
      <c r="QAC36" s="41"/>
      <c r="QAN36" s="41"/>
      <c r="QAY36" s="41"/>
      <c r="QBJ36" s="41"/>
      <c r="QBU36" s="41"/>
      <c r="QCF36" s="41"/>
      <c r="QCQ36" s="41"/>
      <c r="QDB36" s="41"/>
      <c r="QDM36" s="41"/>
      <c r="QDX36" s="41"/>
      <c r="QEI36" s="41"/>
      <c r="QET36" s="41"/>
      <c r="QFE36" s="41"/>
      <c r="QFP36" s="41"/>
      <c r="QGA36" s="41"/>
      <c r="QGL36" s="41"/>
      <c r="QGW36" s="41"/>
      <c r="QHH36" s="41"/>
      <c r="QHS36" s="41"/>
      <c r="QID36" s="41"/>
      <c r="QIO36" s="41"/>
      <c r="QIZ36" s="41"/>
      <c r="QJK36" s="41"/>
      <c r="QJV36" s="41"/>
      <c r="QKG36" s="41"/>
      <c r="QKR36" s="41"/>
      <c r="QLC36" s="41"/>
      <c r="QLN36" s="41"/>
      <c r="QLY36" s="41"/>
      <c r="QMJ36" s="41"/>
      <c r="QMU36" s="41"/>
      <c r="QNF36" s="41"/>
      <c r="QNQ36" s="41"/>
      <c r="QOB36" s="41"/>
      <c r="QOM36" s="41"/>
      <c r="QOX36" s="41"/>
      <c r="QPI36" s="41"/>
      <c r="QPT36" s="41"/>
      <c r="QQE36" s="41"/>
      <c r="QQP36" s="41"/>
      <c r="QRA36" s="41"/>
      <c r="QRL36" s="41"/>
      <c r="QRW36" s="41"/>
      <c r="QSH36" s="41"/>
      <c r="QSS36" s="41"/>
      <c r="QTD36" s="41"/>
      <c r="QTO36" s="41"/>
      <c r="QTZ36" s="41"/>
      <c r="QUK36" s="41"/>
      <c r="QUV36" s="41"/>
      <c r="QVG36" s="41"/>
      <c r="QVR36" s="41"/>
      <c r="QWC36" s="41"/>
      <c r="QWN36" s="41"/>
      <c r="QWY36" s="41"/>
      <c r="QXJ36" s="41"/>
      <c r="QXU36" s="41"/>
      <c r="QYF36" s="41"/>
      <c r="QYQ36" s="41"/>
      <c r="QZB36" s="41"/>
      <c r="QZM36" s="41"/>
      <c r="QZX36" s="41"/>
      <c r="RAI36" s="41"/>
      <c r="RAT36" s="41"/>
      <c r="RBE36" s="41"/>
      <c r="RBP36" s="41"/>
      <c r="RCA36" s="41"/>
      <c r="RCL36" s="41"/>
      <c r="RCW36" s="41"/>
      <c r="RDH36" s="41"/>
      <c r="RDS36" s="41"/>
      <c r="RED36" s="41"/>
      <c r="REO36" s="41"/>
      <c r="REZ36" s="41"/>
      <c r="RFK36" s="41"/>
      <c r="RFV36" s="41"/>
      <c r="RGG36" s="41"/>
      <c r="RGR36" s="41"/>
      <c r="RHC36" s="41"/>
      <c r="RHN36" s="41"/>
      <c r="RHY36" s="41"/>
      <c r="RIJ36" s="41"/>
      <c r="RIU36" s="41"/>
      <c r="RJF36" s="41"/>
      <c r="RJQ36" s="41"/>
      <c r="RKB36" s="41"/>
      <c r="RKM36" s="41"/>
      <c r="RKX36" s="41"/>
      <c r="RLI36" s="41"/>
      <c r="RLT36" s="41"/>
      <c r="RME36" s="41"/>
      <c r="RMP36" s="41"/>
      <c r="RNA36" s="41"/>
      <c r="RNL36" s="41"/>
      <c r="RNW36" s="41"/>
      <c r="ROH36" s="41"/>
      <c r="ROS36" s="41"/>
      <c r="RPD36" s="41"/>
      <c r="RPO36" s="41"/>
      <c r="RPZ36" s="41"/>
      <c r="RQK36" s="41"/>
      <c r="RQV36" s="41"/>
      <c r="RRG36" s="41"/>
      <c r="RRR36" s="41"/>
      <c r="RSC36" s="41"/>
      <c r="RSN36" s="41"/>
      <c r="RSY36" s="41"/>
      <c r="RTJ36" s="41"/>
      <c r="RTU36" s="41"/>
      <c r="RUF36" s="41"/>
      <c r="RUQ36" s="41"/>
      <c r="RVB36" s="41"/>
      <c r="RVM36" s="41"/>
      <c r="RVX36" s="41"/>
      <c r="RWI36" s="41"/>
      <c r="RWT36" s="41"/>
      <c r="RXE36" s="41"/>
      <c r="RXP36" s="41"/>
      <c r="RYA36" s="41"/>
      <c r="RYL36" s="41"/>
      <c r="RYW36" s="41"/>
      <c r="RZH36" s="41"/>
      <c r="RZS36" s="41"/>
      <c r="SAD36" s="41"/>
      <c r="SAO36" s="41"/>
      <c r="SAZ36" s="41"/>
      <c r="SBK36" s="41"/>
      <c r="SBV36" s="41"/>
      <c r="SCG36" s="41"/>
      <c r="SCR36" s="41"/>
      <c r="SDC36" s="41"/>
      <c r="SDN36" s="41"/>
      <c r="SDY36" s="41"/>
      <c r="SEJ36" s="41"/>
      <c r="SEU36" s="41"/>
      <c r="SFF36" s="41"/>
      <c r="SFQ36" s="41"/>
      <c r="SGB36" s="41"/>
      <c r="SGM36" s="41"/>
      <c r="SGX36" s="41"/>
      <c r="SHI36" s="41"/>
      <c r="SHT36" s="41"/>
      <c r="SIE36" s="41"/>
      <c r="SIP36" s="41"/>
      <c r="SJA36" s="41"/>
      <c r="SJL36" s="41"/>
      <c r="SJW36" s="41"/>
      <c r="SKH36" s="41"/>
      <c r="SKS36" s="41"/>
      <c r="SLD36" s="41"/>
      <c r="SLO36" s="41"/>
      <c r="SLZ36" s="41"/>
      <c r="SMK36" s="41"/>
      <c r="SMV36" s="41"/>
      <c r="SNG36" s="41"/>
      <c r="SNR36" s="41"/>
      <c r="SOC36" s="41"/>
      <c r="SON36" s="41"/>
      <c r="SOY36" s="41"/>
      <c r="SPJ36" s="41"/>
      <c r="SPU36" s="41"/>
      <c r="SQF36" s="41"/>
      <c r="SQQ36" s="41"/>
      <c r="SRB36" s="41"/>
      <c r="SRM36" s="41"/>
      <c r="SRX36" s="41"/>
      <c r="SSI36" s="41"/>
      <c r="SST36" s="41"/>
      <c r="STE36" s="41"/>
      <c r="STP36" s="41"/>
      <c r="SUA36" s="41"/>
      <c r="SUL36" s="41"/>
      <c r="SUW36" s="41"/>
      <c r="SVH36" s="41"/>
      <c r="SVS36" s="41"/>
      <c r="SWD36" s="41"/>
      <c r="SWO36" s="41"/>
      <c r="SWZ36" s="41"/>
      <c r="SXK36" s="41"/>
      <c r="SXV36" s="41"/>
      <c r="SYG36" s="41"/>
      <c r="SYR36" s="41"/>
      <c r="SZC36" s="41"/>
      <c r="SZN36" s="41"/>
      <c r="SZY36" s="41"/>
      <c r="TAJ36" s="41"/>
      <c r="TAU36" s="41"/>
      <c r="TBF36" s="41"/>
      <c r="TBQ36" s="41"/>
      <c r="TCB36" s="41"/>
      <c r="TCM36" s="41"/>
      <c r="TCX36" s="41"/>
      <c r="TDI36" s="41"/>
      <c r="TDT36" s="41"/>
      <c r="TEE36" s="41"/>
      <c r="TEP36" s="41"/>
      <c r="TFA36" s="41"/>
      <c r="TFL36" s="41"/>
      <c r="TFW36" s="41"/>
      <c r="TGH36" s="41"/>
      <c r="TGS36" s="41"/>
      <c r="THD36" s="41"/>
      <c r="THO36" s="41"/>
      <c r="THZ36" s="41"/>
      <c r="TIK36" s="41"/>
      <c r="TIV36" s="41"/>
      <c r="TJG36" s="41"/>
      <c r="TJR36" s="41"/>
      <c r="TKC36" s="41"/>
      <c r="TKN36" s="41"/>
      <c r="TKY36" s="41"/>
      <c r="TLJ36" s="41"/>
      <c r="TLU36" s="41"/>
      <c r="TMF36" s="41"/>
      <c r="TMQ36" s="41"/>
      <c r="TNB36" s="41"/>
      <c r="TNM36" s="41"/>
      <c r="TNX36" s="41"/>
      <c r="TOI36" s="41"/>
      <c r="TOT36" s="41"/>
      <c r="TPE36" s="41"/>
      <c r="TPP36" s="41"/>
      <c r="TQA36" s="41"/>
      <c r="TQL36" s="41"/>
      <c r="TQW36" s="41"/>
      <c r="TRH36" s="41"/>
      <c r="TRS36" s="41"/>
      <c r="TSD36" s="41"/>
      <c r="TSO36" s="41"/>
      <c r="TSZ36" s="41"/>
      <c r="TTK36" s="41"/>
      <c r="TTV36" s="41"/>
      <c r="TUG36" s="41"/>
      <c r="TUR36" s="41"/>
      <c r="TVC36" s="41"/>
      <c r="TVN36" s="41"/>
      <c r="TVY36" s="41"/>
      <c r="TWJ36" s="41"/>
      <c r="TWU36" s="41"/>
      <c r="TXF36" s="41"/>
      <c r="TXQ36" s="41"/>
      <c r="TYB36" s="41"/>
      <c r="TYM36" s="41"/>
      <c r="TYX36" s="41"/>
      <c r="TZI36" s="41"/>
      <c r="TZT36" s="41"/>
      <c r="UAE36" s="41"/>
      <c r="UAP36" s="41"/>
      <c r="UBA36" s="41"/>
      <c r="UBL36" s="41"/>
      <c r="UBW36" s="41"/>
      <c r="UCH36" s="41"/>
      <c r="UCS36" s="41"/>
      <c r="UDD36" s="41"/>
      <c r="UDO36" s="41"/>
      <c r="UDZ36" s="41"/>
      <c r="UEK36" s="41"/>
      <c r="UEV36" s="41"/>
      <c r="UFG36" s="41"/>
      <c r="UFR36" s="41"/>
      <c r="UGC36" s="41"/>
      <c r="UGN36" s="41"/>
      <c r="UGY36" s="41"/>
      <c r="UHJ36" s="41"/>
      <c r="UHU36" s="41"/>
      <c r="UIF36" s="41"/>
      <c r="UIQ36" s="41"/>
      <c r="UJB36" s="41"/>
      <c r="UJM36" s="41"/>
      <c r="UJX36" s="41"/>
      <c r="UKI36" s="41"/>
      <c r="UKT36" s="41"/>
      <c r="ULE36" s="41"/>
      <c r="ULP36" s="41"/>
      <c r="UMA36" s="41"/>
      <c r="UML36" s="41"/>
      <c r="UMW36" s="41"/>
      <c r="UNH36" s="41"/>
      <c r="UNS36" s="41"/>
      <c r="UOD36" s="41"/>
      <c r="UOO36" s="41"/>
      <c r="UOZ36" s="41"/>
      <c r="UPK36" s="41"/>
      <c r="UPV36" s="41"/>
      <c r="UQG36" s="41"/>
      <c r="UQR36" s="41"/>
      <c r="URC36" s="41"/>
      <c r="URN36" s="41"/>
      <c r="URY36" s="41"/>
      <c r="USJ36" s="41"/>
      <c r="USU36" s="41"/>
      <c r="UTF36" s="41"/>
      <c r="UTQ36" s="41"/>
      <c r="UUB36" s="41"/>
      <c r="UUM36" s="41"/>
      <c r="UUX36" s="41"/>
      <c r="UVI36" s="41"/>
      <c r="UVT36" s="41"/>
      <c r="UWE36" s="41"/>
      <c r="UWP36" s="41"/>
      <c r="UXA36" s="41"/>
      <c r="UXL36" s="41"/>
      <c r="UXW36" s="41"/>
      <c r="UYH36" s="41"/>
      <c r="UYS36" s="41"/>
      <c r="UZD36" s="41"/>
      <c r="UZO36" s="41"/>
      <c r="UZZ36" s="41"/>
      <c r="VAK36" s="41"/>
      <c r="VAV36" s="41"/>
      <c r="VBG36" s="41"/>
      <c r="VBR36" s="41"/>
      <c r="VCC36" s="41"/>
      <c r="VCN36" s="41"/>
      <c r="VCY36" s="41"/>
      <c r="VDJ36" s="41"/>
      <c r="VDU36" s="41"/>
      <c r="VEF36" s="41"/>
      <c r="VEQ36" s="41"/>
      <c r="VFB36" s="41"/>
      <c r="VFM36" s="41"/>
      <c r="VFX36" s="41"/>
      <c r="VGI36" s="41"/>
      <c r="VGT36" s="41"/>
      <c r="VHE36" s="41"/>
      <c r="VHP36" s="41"/>
      <c r="VIA36" s="41"/>
      <c r="VIL36" s="41"/>
      <c r="VIW36" s="41"/>
      <c r="VJH36" s="41"/>
      <c r="VJS36" s="41"/>
      <c r="VKD36" s="41"/>
      <c r="VKO36" s="41"/>
      <c r="VKZ36" s="41"/>
      <c r="VLK36" s="41"/>
      <c r="VLV36" s="41"/>
      <c r="VMG36" s="41"/>
      <c r="VMR36" s="41"/>
      <c r="VNC36" s="41"/>
      <c r="VNN36" s="41"/>
      <c r="VNY36" s="41"/>
      <c r="VOJ36" s="41"/>
      <c r="VOU36" s="41"/>
      <c r="VPF36" s="41"/>
      <c r="VPQ36" s="41"/>
      <c r="VQB36" s="41"/>
      <c r="VQM36" s="41"/>
      <c r="VQX36" s="41"/>
      <c r="VRI36" s="41"/>
      <c r="VRT36" s="41"/>
      <c r="VSE36" s="41"/>
      <c r="VSP36" s="41"/>
      <c r="VTA36" s="41"/>
      <c r="VTL36" s="41"/>
      <c r="VTW36" s="41"/>
      <c r="VUH36" s="41"/>
      <c r="VUS36" s="41"/>
      <c r="VVD36" s="41"/>
      <c r="VVO36" s="41"/>
      <c r="VVZ36" s="41"/>
      <c r="VWK36" s="41"/>
      <c r="VWV36" s="41"/>
      <c r="VXG36" s="41"/>
      <c r="VXR36" s="41"/>
      <c r="VYC36" s="41"/>
      <c r="VYN36" s="41"/>
      <c r="VYY36" s="41"/>
      <c r="VZJ36" s="41"/>
      <c r="VZU36" s="41"/>
      <c r="WAF36" s="41"/>
      <c r="WAQ36" s="41"/>
      <c r="WBB36" s="41"/>
      <c r="WBM36" s="41"/>
      <c r="WBX36" s="41"/>
      <c r="WCI36" s="41"/>
      <c r="WCT36" s="41"/>
      <c r="WDE36" s="41"/>
      <c r="WDP36" s="41"/>
      <c r="WEA36" s="41"/>
      <c r="WEL36" s="41"/>
      <c r="WEW36" s="41"/>
      <c r="WFH36" s="41"/>
      <c r="WFS36" s="41"/>
      <c r="WGD36" s="41"/>
      <c r="WGO36" s="41"/>
      <c r="WGZ36" s="41"/>
      <c r="WHK36" s="41"/>
      <c r="WHV36" s="41"/>
      <c r="WIG36" s="41"/>
      <c r="WIR36" s="41"/>
      <c r="WJC36" s="41"/>
      <c r="WJN36" s="41"/>
      <c r="WJY36" s="41"/>
      <c r="WKJ36" s="41"/>
      <c r="WKU36" s="41"/>
      <c r="WLF36" s="41"/>
      <c r="WLQ36" s="41"/>
      <c r="WMB36" s="41"/>
      <c r="WMM36" s="41"/>
      <c r="WMX36" s="41"/>
      <c r="WNI36" s="41"/>
      <c r="WNT36" s="41"/>
      <c r="WOE36" s="41"/>
      <c r="WOP36" s="41"/>
      <c r="WPA36" s="41"/>
      <c r="WPL36" s="41"/>
      <c r="WPW36" s="41"/>
      <c r="WQH36" s="41"/>
      <c r="WQS36" s="41"/>
      <c r="WRD36" s="41"/>
      <c r="WRO36" s="41"/>
      <c r="WRZ36" s="41"/>
      <c r="WSK36" s="41"/>
      <c r="WSV36" s="41"/>
      <c r="WTG36" s="41"/>
      <c r="WTR36" s="41"/>
      <c r="WUC36" s="41"/>
      <c r="WUN36" s="41"/>
      <c r="WUY36" s="41"/>
      <c r="WVJ36" s="41"/>
      <c r="WVU36" s="41"/>
      <c r="WWF36" s="41"/>
      <c r="WWQ36" s="41"/>
      <c r="WXB36" s="41"/>
      <c r="WXM36" s="41"/>
      <c r="WXX36" s="41"/>
      <c r="WYI36" s="41"/>
      <c r="WYT36" s="41"/>
      <c r="WZE36" s="41"/>
      <c r="WZP36" s="41"/>
      <c r="XAA36" s="41"/>
      <c r="XAL36" s="41"/>
      <c r="XAW36" s="41"/>
      <c r="XBH36" s="41"/>
      <c r="XBS36" s="41"/>
      <c r="XCD36" s="41"/>
      <c r="XCO36" s="41"/>
      <c r="XCZ36" s="41"/>
      <c r="XDK36" s="41"/>
      <c r="XDV36" s="41"/>
      <c r="XEG36" s="41"/>
      <c r="XER36" s="41"/>
      <c r="XFC36" s="41"/>
    </row>
    <row r="37" spans="4:1016 1027:2039 2050:3062 3073:4096 4107:5119 5130:6142 6153:7165 7176:8188 8199:9211 9222:10234 10245:11257 11268:12280 12291:13303 13314:14326 14337:15360 15371:16383" s="40" customFormat="1" ht="17.25" customHeight="1">
      <c r="F37" s="41"/>
      <c r="G37"/>
      <c r="H37"/>
      <c r="I37"/>
      <c r="P37" s="221"/>
      <c r="Q37" s="221"/>
      <c r="R37" s="221"/>
      <c r="S37" s="221"/>
      <c r="T37" s="221"/>
      <c r="U37" s="204"/>
      <c r="V37" s="204"/>
      <c r="W37" s="204"/>
      <c r="X37" s="204"/>
      <c r="Y37" s="204"/>
      <c r="Z37" s="204"/>
      <c r="AK37" s="41"/>
      <c r="AV37" s="41"/>
      <c r="BG37" s="41"/>
      <c r="BR37" s="41"/>
      <c r="CC37" s="41"/>
      <c r="CN37" s="41"/>
      <c r="CY37" s="41"/>
      <c r="DJ37" s="41"/>
      <c r="DU37" s="41"/>
      <c r="EF37" s="41"/>
      <c r="EQ37" s="41"/>
      <c r="FB37" s="41"/>
      <c r="FM37" s="41"/>
      <c r="FX37" s="41"/>
      <c r="GI37" s="41"/>
      <c r="GT37" s="41"/>
      <c r="HE37" s="41"/>
      <c r="HP37" s="41"/>
      <c r="IA37" s="41"/>
      <c r="IL37" s="41"/>
      <c r="IW37" s="41"/>
      <c r="JH37" s="41"/>
      <c r="JS37" s="41"/>
      <c r="KD37" s="41"/>
      <c r="KO37" s="41"/>
      <c r="KZ37" s="41"/>
      <c r="LK37" s="41"/>
      <c r="LV37" s="41"/>
      <c r="MG37" s="41"/>
      <c r="MR37" s="41"/>
      <c r="NC37" s="41"/>
      <c r="NN37" s="41"/>
      <c r="NY37" s="41"/>
      <c r="OJ37" s="41"/>
      <c r="OU37" s="41"/>
      <c r="PF37" s="41"/>
      <c r="PQ37" s="41"/>
      <c r="QB37" s="41"/>
      <c r="QM37" s="41"/>
      <c r="QX37" s="41"/>
      <c r="RI37" s="41"/>
      <c r="RT37" s="41"/>
      <c r="SE37" s="41"/>
      <c r="SP37" s="41"/>
      <c r="TA37" s="41"/>
      <c r="TL37" s="41"/>
      <c r="TW37" s="41"/>
      <c r="UH37" s="41"/>
      <c r="US37" s="41"/>
      <c r="VD37" s="41"/>
      <c r="VO37" s="41"/>
      <c r="VZ37" s="41"/>
      <c r="WK37" s="41"/>
      <c r="WV37" s="41"/>
      <c r="XG37" s="41"/>
      <c r="XR37" s="41"/>
      <c r="YC37" s="41"/>
      <c r="YN37" s="41"/>
      <c r="YY37" s="41"/>
      <c r="ZJ37" s="41"/>
      <c r="ZU37" s="41"/>
      <c r="AAF37" s="41"/>
      <c r="AAQ37" s="41"/>
      <c r="ABB37" s="41"/>
      <c r="ABM37" s="41"/>
      <c r="ABX37" s="41"/>
      <c r="ACI37" s="41"/>
      <c r="ACT37" s="41"/>
      <c r="ADE37" s="41"/>
      <c r="ADP37" s="41"/>
      <c r="AEA37" s="41"/>
      <c r="AEL37" s="41"/>
      <c r="AEW37" s="41"/>
      <c r="AFH37" s="41"/>
      <c r="AFS37" s="41"/>
      <c r="AGD37" s="41"/>
      <c r="AGO37" s="41"/>
      <c r="AGZ37" s="41"/>
      <c r="AHK37" s="41"/>
      <c r="AHV37" s="41"/>
      <c r="AIG37" s="41"/>
      <c r="AIR37" s="41"/>
      <c r="AJC37" s="41"/>
      <c r="AJN37" s="41"/>
      <c r="AJY37" s="41"/>
      <c r="AKJ37" s="41"/>
      <c r="AKU37" s="41"/>
      <c r="ALF37" s="41"/>
      <c r="ALQ37" s="41"/>
      <c r="AMB37" s="41"/>
      <c r="AMM37" s="41"/>
      <c r="AMX37" s="41"/>
      <c r="ANI37" s="41"/>
      <c r="ANT37" s="41"/>
      <c r="AOE37" s="41"/>
      <c r="AOP37" s="41"/>
      <c r="APA37" s="41"/>
      <c r="APL37" s="41"/>
      <c r="APW37" s="41"/>
      <c r="AQH37" s="41"/>
      <c r="AQS37" s="41"/>
      <c r="ARD37" s="41"/>
      <c r="ARO37" s="41"/>
      <c r="ARZ37" s="41"/>
      <c r="ASK37" s="41"/>
      <c r="ASV37" s="41"/>
      <c r="ATG37" s="41"/>
      <c r="ATR37" s="41"/>
      <c r="AUC37" s="41"/>
      <c r="AUN37" s="41"/>
      <c r="AUY37" s="41"/>
      <c r="AVJ37" s="41"/>
      <c r="AVU37" s="41"/>
      <c r="AWF37" s="41"/>
      <c r="AWQ37" s="41"/>
      <c r="AXB37" s="41"/>
      <c r="AXM37" s="41"/>
      <c r="AXX37" s="41"/>
      <c r="AYI37" s="41"/>
      <c r="AYT37" s="41"/>
      <c r="AZE37" s="41"/>
      <c r="AZP37" s="41"/>
      <c r="BAA37" s="41"/>
      <c r="BAL37" s="41"/>
      <c r="BAW37" s="41"/>
      <c r="BBH37" s="41"/>
      <c r="BBS37" s="41"/>
      <c r="BCD37" s="41"/>
      <c r="BCO37" s="41"/>
      <c r="BCZ37" s="41"/>
      <c r="BDK37" s="41"/>
      <c r="BDV37" s="41"/>
      <c r="BEG37" s="41"/>
      <c r="BER37" s="41"/>
      <c r="BFC37" s="41"/>
      <c r="BFN37" s="41"/>
      <c r="BFY37" s="41"/>
      <c r="BGJ37" s="41"/>
      <c r="BGU37" s="41"/>
      <c r="BHF37" s="41"/>
      <c r="BHQ37" s="41"/>
      <c r="BIB37" s="41"/>
      <c r="BIM37" s="41"/>
      <c r="BIX37" s="41"/>
      <c r="BJI37" s="41"/>
      <c r="BJT37" s="41"/>
      <c r="BKE37" s="41"/>
      <c r="BKP37" s="41"/>
      <c r="BLA37" s="41"/>
      <c r="BLL37" s="41"/>
      <c r="BLW37" s="41"/>
      <c r="BMH37" s="41"/>
      <c r="BMS37" s="41"/>
      <c r="BND37" s="41"/>
      <c r="BNO37" s="41"/>
      <c r="BNZ37" s="41"/>
      <c r="BOK37" s="41"/>
      <c r="BOV37" s="41"/>
      <c r="BPG37" s="41"/>
      <c r="BPR37" s="41"/>
      <c r="BQC37" s="41"/>
      <c r="BQN37" s="41"/>
      <c r="BQY37" s="41"/>
      <c r="BRJ37" s="41"/>
      <c r="BRU37" s="41"/>
      <c r="BSF37" s="41"/>
      <c r="BSQ37" s="41"/>
      <c r="BTB37" s="41"/>
      <c r="BTM37" s="41"/>
      <c r="BTX37" s="41"/>
      <c r="BUI37" s="41"/>
      <c r="BUT37" s="41"/>
      <c r="BVE37" s="41"/>
      <c r="BVP37" s="41"/>
      <c r="BWA37" s="41"/>
      <c r="BWL37" s="41"/>
      <c r="BWW37" s="41"/>
      <c r="BXH37" s="41"/>
      <c r="BXS37" s="41"/>
      <c r="BYD37" s="41"/>
      <c r="BYO37" s="41"/>
      <c r="BYZ37" s="41"/>
      <c r="BZK37" s="41"/>
      <c r="BZV37" s="41"/>
      <c r="CAG37" s="41"/>
      <c r="CAR37" s="41"/>
      <c r="CBC37" s="41"/>
      <c r="CBN37" s="41"/>
      <c r="CBY37" s="41"/>
      <c r="CCJ37" s="41"/>
      <c r="CCU37" s="41"/>
      <c r="CDF37" s="41"/>
      <c r="CDQ37" s="41"/>
      <c r="CEB37" s="41"/>
      <c r="CEM37" s="41"/>
      <c r="CEX37" s="41"/>
      <c r="CFI37" s="41"/>
      <c r="CFT37" s="41"/>
      <c r="CGE37" s="41"/>
      <c r="CGP37" s="41"/>
      <c r="CHA37" s="41"/>
      <c r="CHL37" s="41"/>
      <c r="CHW37" s="41"/>
      <c r="CIH37" s="41"/>
      <c r="CIS37" s="41"/>
      <c r="CJD37" s="41"/>
      <c r="CJO37" s="41"/>
      <c r="CJZ37" s="41"/>
      <c r="CKK37" s="41"/>
      <c r="CKV37" s="41"/>
      <c r="CLG37" s="41"/>
      <c r="CLR37" s="41"/>
      <c r="CMC37" s="41"/>
      <c r="CMN37" s="41"/>
      <c r="CMY37" s="41"/>
      <c r="CNJ37" s="41"/>
      <c r="CNU37" s="41"/>
      <c r="COF37" s="41"/>
      <c r="COQ37" s="41"/>
      <c r="CPB37" s="41"/>
      <c r="CPM37" s="41"/>
      <c r="CPX37" s="41"/>
      <c r="CQI37" s="41"/>
      <c r="CQT37" s="41"/>
      <c r="CRE37" s="41"/>
      <c r="CRP37" s="41"/>
      <c r="CSA37" s="41"/>
      <c r="CSL37" s="41"/>
      <c r="CSW37" s="41"/>
      <c r="CTH37" s="41"/>
      <c r="CTS37" s="41"/>
      <c r="CUD37" s="41"/>
      <c r="CUO37" s="41"/>
      <c r="CUZ37" s="41"/>
      <c r="CVK37" s="41"/>
      <c r="CVV37" s="41"/>
      <c r="CWG37" s="41"/>
      <c r="CWR37" s="41"/>
      <c r="CXC37" s="41"/>
      <c r="CXN37" s="41"/>
      <c r="CXY37" s="41"/>
      <c r="CYJ37" s="41"/>
      <c r="CYU37" s="41"/>
      <c r="CZF37" s="41"/>
      <c r="CZQ37" s="41"/>
      <c r="DAB37" s="41"/>
      <c r="DAM37" s="41"/>
      <c r="DAX37" s="41"/>
      <c r="DBI37" s="41"/>
      <c r="DBT37" s="41"/>
      <c r="DCE37" s="41"/>
      <c r="DCP37" s="41"/>
      <c r="DDA37" s="41"/>
      <c r="DDL37" s="41"/>
      <c r="DDW37" s="41"/>
      <c r="DEH37" s="41"/>
      <c r="DES37" s="41"/>
      <c r="DFD37" s="41"/>
      <c r="DFO37" s="41"/>
      <c r="DFZ37" s="41"/>
      <c r="DGK37" s="41"/>
      <c r="DGV37" s="41"/>
      <c r="DHG37" s="41"/>
      <c r="DHR37" s="41"/>
      <c r="DIC37" s="41"/>
      <c r="DIN37" s="41"/>
      <c r="DIY37" s="41"/>
      <c r="DJJ37" s="41"/>
      <c r="DJU37" s="41"/>
      <c r="DKF37" s="41"/>
      <c r="DKQ37" s="41"/>
      <c r="DLB37" s="41"/>
      <c r="DLM37" s="41"/>
      <c r="DLX37" s="41"/>
      <c r="DMI37" s="41"/>
      <c r="DMT37" s="41"/>
      <c r="DNE37" s="41"/>
      <c r="DNP37" s="41"/>
      <c r="DOA37" s="41"/>
      <c r="DOL37" s="41"/>
      <c r="DOW37" s="41"/>
      <c r="DPH37" s="41"/>
      <c r="DPS37" s="41"/>
      <c r="DQD37" s="41"/>
      <c r="DQO37" s="41"/>
      <c r="DQZ37" s="41"/>
      <c r="DRK37" s="41"/>
      <c r="DRV37" s="41"/>
      <c r="DSG37" s="41"/>
      <c r="DSR37" s="41"/>
      <c r="DTC37" s="41"/>
      <c r="DTN37" s="41"/>
      <c r="DTY37" s="41"/>
      <c r="DUJ37" s="41"/>
      <c r="DUU37" s="41"/>
      <c r="DVF37" s="41"/>
      <c r="DVQ37" s="41"/>
      <c r="DWB37" s="41"/>
      <c r="DWM37" s="41"/>
      <c r="DWX37" s="41"/>
      <c r="DXI37" s="41"/>
      <c r="DXT37" s="41"/>
      <c r="DYE37" s="41"/>
      <c r="DYP37" s="41"/>
      <c r="DZA37" s="41"/>
      <c r="DZL37" s="41"/>
      <c r="DZW37" s="41"/>
      <c r="EAH37" s="41"/>
      <c r="EAS37" s="41"/>
      <c r="EBD37" s="41"/>
      <c r="EBO37" s="41"/>
      <c r="EBZ37" s="41"/>
      <c r="ECK37" s="41"/>
      <c r="ECV37" s="41"/>
      <c r="EDG37" s="41"/>
      <c r="EDR37" s="41"/>
      <c r="EEC37" s="41"/>
      <c r="EEN37" s="41"/>
      <c r="EEY37" s="41"/>
      <c r="EFJ37" s="41"/>
      <c r="EFU37" s="41"/>
      <c r="EGF37" s="41"/>
      <c r="EGQ37" s="41"/>
      <c r="EHB37" s="41"/>
      <c r="EHM37" s="41"/>
      <c r="EHX37" s="41"/>
      <c r="EII37" s="41"/>
      <c r="EIT37" s="41"/>
      <c r="EJE37" s="41"/>
      <c r="EJP37" s="41"/>
      <c r="EKA37" s="41"/>
      <c r="EKL37" s="41"/>
      <c r="EKW37" s="41"/>
      <c r="ELH37" s="41"/>
      <c r="ELS37" s="41"/>
      <c r="EMD37" s="41"/>
      <c r="EMO37" s="41"/>
      <c r="EMZ37" s="41"/>
      <c r="ENK37" s="41"/>
      <c r="ENV37" s="41"/>
      <c r="EOG37" s="41"/>
      <c r="EOR37" s="41"/>
      <c r="EPC37" s="41"/>
      <c r="EPN37" s="41"/>
      <c r="EPY37" s="41"/>
      <c r="EQJ37" s="41"/>
      <c r="EQU37" s="41"/>
      <c r="ERF37" s="41"/>
      <c r="ERQ37" s="41"/>
      <c r="ESB37" s="41"/>
      <c r="ESM37" s="41"/>
      <c r="ESX37" s="41"/>
      <c r="ETI37" s="41"/>
      <c r="ETT37" s="41"/>
      <c r="EUE37" s="41"/>
      <c r="EUP37" s="41"/>
      <c r="EVA37" s="41"/>
      <c r="EVL37" s="41"/>
      <c r="EVW37" s="41"/>
      <c r="EWH37" s="41"/>
      <c r="EWS37" s="41"/>
      <c r="EXD37" s="41"/>
      <c r="EXO37" s="41"/>
      <c r="EXZ37" s="41"/>
      <c r="EYK37" s="41"/>
      <c r="EYV37" s="41"/>
      <c r="EZG37" s="41"/>
      <c r="EZR37" s="41"/>
      <c r="FAC37" s="41"/>
      <c r="FAN37" s="41"/>
      <c r="FAY37" s="41"/>
      <c r="FBJ37" s="41"/>
      <c r="FBU37" s="41"/>
      <c r="FCF37" s="41"/>
      <c r="FCQ37" s="41"/>
      <c r="FDB37" s="41"/>
      <c r="FDM37" s="41"/>
      <c r="FDX37" s="41"/>
      <c r="FEI37" s="41"/>
      <c r="FET37" s="41"/>
      <c r="FFE37" s="41"/>
      <c r="FFP37" s="41"/>
      <c r="FGA37" s="41"/>
      <c r="FGL37" s="41"/>
      <c r="FGW37" s="41"/>
      <c r="FHH37" s="41"/>
      <c r="FHS37" s="41"/>
      <c r="FID37" s="41"/>
      <c r="FIO37" s="41"/>
      <c r="FIZ37" s="41"/>
      <c r="FJK37" s="41"/>
      <c r="FJV37" s="41"/>
      <c r="FKG37" s="41"/>
      <c r="FKR37" s="41"/>
      <c r="FLC37" s="41"/>
      <c r="FLN37" s="41"/>
      <c r="FLY37" s="41"/>
      <c r="FMJ37" s="41"/>
      <c r="FMU37" s="41"/>
      <c r="FNF37" s="41"/>
      <c r="FNQ37" s="41"/>
      <c r="FOB37" s="41"/>
      <c r="FOM37" s="41"/>
      <c r="FOX37" s="41"/>
      <c r="FPI37" s="41"/>
      <c r="FPT37" s="41"/>
      <c r="FQE37" s="41"/>
      <c r="FQP37" s="41"/>
      <c r="FRA37" s="41"/>
      <c r="FRL37" s="41"/>
      <c r="FRW37" s="41"/>
      <c r="FSH37" s="41"/>
      <c r="FSS37" s="41"/>
      <c r="FTD37" s="41"/>
      <c r="FTO37" s="41"/>
      <c r="FTZ37" s="41"/>
      <c r="FUK37" s="41"/>
      <c r="FUV37" s="41"/>
      <c r="FVG37" s="41"/>
      <c r="FVR37" s="41"/>
      <c r="FWC37" s="41"/>
      <c r="FWN37" s="41"/>
      <c r="FWY37" s="41"/>
      <c r="FXJ37" s="41"/>
      <c r="FXU37" s="41"/>
      <c r="FYF37" s="41"/>
      <c r="FYQ37" s="41"/>
      <c r="FZB37" s="41"/>
      <c r="FZM37" s="41"/>
      <c r="FZX37" s="41"/>
      <c r="GAI37" s="41"/>
      <c r="GAT37" s="41"/>
      <c r="GBE37" s="41"/>
      <c r="GBP37" s="41"/>
      <c r="GCA37" s="41"/>
      <c r="GCL37" s="41"/>
      <c r="GCW37" s="41"/>
      <c r="GDH37" s="41"/>
      <c r="GDS37" s="41"/>
      <c r="GED37" s="41"/>
      <c r="GEO37" s="41"/>
      <c r="GEZ37" s="41"/>
      <c r="GFK37" s="41"/>
      <c r="GFV37" s="41"/>
      <c r="GGG37" s="41"/>
      <c r="GGR37" s="41"/>
      <c r="GHC37" s="41"/>
      <c r="GHN37" s="41"/>
      <c r="GHY37" s="41"/>
      <c r="GIJ37" s="41"/>
      <c r="GIU37" s="41"/>
      <c r="GJF37" s="41"/>
      <c r="GJQ37" s="41"/>
      <c r="GKB37" s="41"/>
      <c r="GKM37" s="41"/>
      <c r="GKX37" s="41"/>
      <c r="GLI37" s="41"/>
      <c r="GLT37" s="41"/>
      <c r="GME37" s="41"/>
      <c r="GMP37" s="41"/>
      <c r="GNA37" s="41"/>
      <c r="GNL37" s="41"/>
      <c r="GNW37" s="41"/>
      <c r="GOH37" s="41"/>
      <c r="GOS37" s="41"/>
      <c r="GPD37" s="41"/>
      <c r="GPO37" s="41"/>
      <c r="GPZ37" s="41"/>
      <c r="GQK37" s="41"/>
      <c r="GQV37" s="41"/>
      <c r="GRG37" s="41"/>
      <c r="GRR37" s="41"/>
      <c r="GSC37" s="41"/>
      <c r="GSN37" s="41"/>
      <c r="GSY37" s="41"/>
      <c r="GTJ37" s="41"/>
      <c r="GTU37" s="41"/>
      <c r="GUF37" s="41"/>
      <c r="GUQ37" s="41"/>
      <c r="GVB37" s="41"/>
      <c r="GVM37" s="41"/>
      <c r="GVX37" s="41"/>
      <c r="GWI37" s="41"/>
      <c r="GWT37" s="41"/>
      <c r="GXE37" s="41"/>
      <c r="GXP37" s="41"/>
      <c r="GYA37" s="41"/>
      <c r="GYL37" s="41"/>
      <c r="GYW37" s="41"/>
      <c r="GZH37" s="41"/>
      <c r="GZS37" s="41"/>
      <c r="HAD37" s="41"/>
      <c r="HAO37" s="41"/>
      <c r="HAZ37" s="41"/>
      <c r="HBK37" s="41"/>
      <c r="HBV37" s="41"/>
      <c r="HCG37" s="41"/>
      <c r="HCR37" s="41"/>
      <c r="HDC37" s="41"/>
      <c r="HDN37" s="41"/>
      <c r="HDY37" s="41"/>
      <c r="HEJ37" s="41"/>
      <c r="HEU37" s="41"/>
      <c r="HFF37" s="41"/>
      <c r="HFQ37" s="41"/>
      <c r="HGB37" s="41"/>
      <c r="HGM37" s="41"/>
      <c r="HGX37" s="41"/>
      <c r="HHI37" s="41"/>
      <c r="HHT37" s="41"/>
      <c r="HIE37" s="41"/>
      <c r="HIP37" s="41"/>
      <c r="HJA37" s="41"/>
      <c r="HJL37" s="41"/>
      <c r="HJW37" s="41"/>
      <c r="HKH37" s="41"/>
      <c r="HKS37" s="41"/>
      <c r="HLD37" s="41"/>
      <c r="HLO37" s="41"/>
      <c r="HLZ37" s="41"/>
      <c r="HMK37" s="41"/>
      <c r="HMV37" s="41"/>
      <c r="HNG37" s="41"/>
      <c r="HNR37" s="41"/>
      <c r="HOC37" s="41"/>
      <c r="HON37" s="41"/>
      <c r="HOY37" s="41"/>
      <c r="HPJ37" s="41"/>
      <c r="HPU37" s="41"/>
      <c r="HQF37" s="41"/>
      <c r="HQQ37" s="41"/>
      <c r="HRB37" s="41"/>
      <c r="HRM37" s="41"/>
      <c r="HRX37" s="41"/>
      <c r="HSI37" s="41"/>
      <c r="HST37" s="41"/>
      <c r="HTE37" s="41"/>
      <c r="HTP37" s="41"/>
      <c r="HUA37" s="41"/>
      <c r="HUL37" s="41"/>
      <c r="HUW37" s="41"/>
      <c r="HVH37" s="41"/>
      <c r="HVS37" s="41"/>
      <c r="HWD37" s="41"/>
      <c r="HWO37" s="41"/>
      <c r="HWZ37" s="41"/>
      <c r="HXK37" s="41"/>
      <c r="HXV37" s="41"/>
      <c r="HYG37" s="41"/>
      <c r="HYR37" s="41"/>
      <c r="HZC37" s="41"/>
      <c r="HZN37" s="41"/>
      <c r="HZY37" s="41"/>
      <c r="IAJ37" s="41"/>
      <c r="IAU37" s="41"/>
      <c r="IBF37" s="41"/>
      <c r="IBQ37" s="41"/>
      <c r="ICB37" s="41"/>
      <c r="ICM37" s="41"/>
      <c r="ICX37" s="41"/>
      <c r="IDI37" s="41"/>
      <c r="IDT37" s="41"/>
      <c r="IEE37" s="41"/>
      <c r="IEP37" s="41"/>
      <c r="IFA37" s="41"/>
      <c r="IFL37" s="41"/>
      <c r="IFW37" s="41"/>
      <c r="IGH37" s="41"/>
      <c r="IGS37" s="41"/>
      <c r="IHD37" s="41"/>
      <c r="IHO37" s="41"/>
      <c r="IHZ37" s="41"/>
      <c r="IIK37" s="41"/>
      <c r="IIV37" s="41"/>
      <c r="IJG37" s="41"/>
      <c r="IJR37" s="41"/>
      <c r="IKC37" s="41"/>
      <c r="IKN37" s="41"/>
      <c r="IKY37" s="41"/>
      <c r="ILJ37" s="41"/>
      <c r="ILU37" s="41"/>
      <c r="IMF37" s="41"/>
      <c r="IMQ37" s="41"/>
      <c r="INB37" s="41"/>
      <c r="INM37" s="41"/>
      <c r="INX37" s="41"/>
      <c r="IOI37" s="41"/>
      <c r="IOT37" s="41"/>
      <c r="IPE37" s="41"/>
      <c r="IPP37" s="41"/>
      <c r="IQA37" s="41"/>
      <c r="IQL37" s="41"/>
      <c r="IQW37" s="41"/>
      <c r="IRH37" s="41"/>
      <c r="IRS37" s="41"/>
      <c r="ISD37" s="41"/>
      <c r="ISO37" s="41"/>
      <c r="ISZ37" s="41"/>
      <c r="ITK37" s="41"/>
      <c r="ITV37" s="41"/>
      <c r="IUG37" s="41"/>
      <c r="IUR37" s="41"/>
      <c r="IVC37" s="41"/>
      <c r="IVN37" s="41"/>
      <c r="IVY37" s="41"/>
      <c r="IWJ37" s="41"/>
      <c r="IWU37" s="41"/>
      <c r="IXF37" s="41"/>
      <c r="IXQ37" s="41"/>
      <c r="IYB37" s="41"/>
      <c r="IYM37" s="41"/>
      <c r="IYX37" s="41"/>
      <c r="IZI37" s="41"/>
      <c r="IZT37" s="41"/>
      <c r="JAE37" s="41"/>
      <c r="JAP37" s="41"/>
      <c r="JBA37" s="41"/>
      <c r="JBL37" s="41"/>
      <c r="JBW37" s="41"/>
      <c r="JCH37" s="41"/>
      <c r="JCS37" s="41"/>
      <c r="JDD37" s="41"/>
      <c r="JDO37" s="41"/>
      <c r="JDZ37" s="41"/>
      <c r="JEK37" s="41"/>
      <c r="JEV37" s="41"/>
      <c r="JFG37" s="41"/>
      <c r="JFR37" s="41"/>
      <c r="JGC37" s="41"/>
      <c r="JGN37" s="41"/>
      <c r="JGY37" s="41"/>
      <c r="JHJ37" s="41"/>
      <c r="JHU37" s="41"/>
      <c r="JIF37" s="41"/>
      <c r="JIQ37" s="41"/>
      <c r="JJB37" s="41"/>
      <c r="JJM37" s="41"/>
      <c r="JJX37" s="41"/>
      <c r="JKI37" s="41"/>
      <c r="JKT37" s="41"/>
      <c r="JLE37" s="41"/>
      <c r="JLP37" s="41"/>
      <c r="JMA37" s="41"/>
      <c r="JML37" s="41"/>
      <c r="JMW37" s="41"/>
      <c r="JNH37" s="41"/>
      <c r="JNS37" s="41"/>
      <c r="JOD37" s="41"/>
      <c r="JOO37" s="41"/>
      <c r="JOZ37" s="41"/>
      <c r="JPK37" s="41"/>
      <c r="JPV37" s="41"/>
      <c r="JQG37" s="41"/>
      <c r="JQR37" s="41"/>
      <c r="JRC37" s="41"/>
      <c r="JRN37" s="41"/>
      <c r="JRY37" s="41"/>
      <c r="JSJ37" s="41"/>
      <c r="JSU37" s="41"/>
      <c r="JTF37" s="41"/>
      <c r="JTQ37" s="41"/>
      <c r="JUB37" s="41"/>
      <c r="JUM37" s="41"/>
      <c r="JUX37" s="41"/>
      <c r="JVI37" s="41"/>
      <c r="JVT37" s="41"/>
      <c r="JWE37" s="41"/>
      <c r="JWP37" s="41"/>
      <c r="JXA37" s="41"/>
      <c r="JXL37" s="41"/>
      <c r="JXW37" s="41"/>
      <c r="JYH37" s="41"/>
      <c r="JYS37" s="41"/>
      <c r="JZD37" s="41"/>
      <c r="JZO37" s="41"/>
      <c r="JZZ37" s="41"/>
      <c r="KAK37" s="41"/>
      <c r="KAV37" s="41"/>
      <c r="KBG37" s="41"/>
      <c r="KBR37" s="41"/>
      <c r="KCC37" s="41"/>
      <c r="KCN37" s="41"/>
      <c r="KCY37" s="41"/>
      <c r="KDJ37" s="41"/>
      <c r="KDU37" s="41"/>
      <c r="KEF37" s="41"/>
      <c r="KEQ37" s="41"/>
      <c r="KFB37" s="41"/>
      <c r="KFM37" s="41"/>
      <c r="KFX37" s="41"/>
      <c r="KGI37" s="41"/>
      <c r="KGT37" s="41"/>
      <c r="KHE37" s="41"/>
      <c r="KHP37" s="41"/>
      <c r="KIA37" s="41"/>
      <c r="KIL37" s="41"/>
      <c r="KIW37" s="41"/>
      <c r="KJH37" s="41"/>
      <c r="KJS37" s="41"/>
      <c r="KKD37" s="41"/>
      <c r="KKO37" s="41"/>
      <c r="KKZ37" s="41"/>
      <c r="KLK37" s="41"/>
      <c r="KLV37" s="41"/>
      <c r="KMG37" s="41"/>
      <c r="KMR37" s="41"/>
      <c r="KNC37" s="41"/>
      <c r="KNN37" s="41"/>
      <c r="KNY37" s="41"/>
      <c r="KOJ37" s="41"/>
      <c r="KOU37" s="41"/>
      <c r="KPF37" s="41"/>
      <c r="KPQ37" s="41"/>
      <c r="KQB37" s="41"/>
      <c r="KQM37" s="41"/>
      <c r="KQX37" s="41"/>
      <c r="KRI37" s="41"/>
      <c r="KRT37" s="41"/>
      <c r="KSE37" s="41"/>
      <c r="KSP37" s="41"/>
      <c r="KTA37" s="41"/>
      <c r="KTL37" s="41"/>
      <c r="KTW37" s="41"/>
      <c r="KUH37" s="41"/>
      <c r="KUS37" s="41"/>
      <c r="KVD37" s="41"/>
      <c r="KVO37" s="41"/>
      <c r="KVZ37" s="41"/>
      <c r="KWK37" s="41"/>
      <c r="KWV37" s="41"/>
      <c r="KXG37" s="41"/>
      <c r="KXR37" s="41"/>
      <c r="KYC37" s="41"/>
      <c r="KYN37" s="41"/>
      <c r="KYY37" s="41"/>
      <c r="KZJ37" s="41"/>
      <c r="KZU37" s="41"/>
      <c r="LAF37" s="41"/>
      <c r="LAQ37" s="41"/>
      <c r="LBB37" s="41"/>
      <c r="LBM37" s="41"/>
      <c r="LBX37" s="41"/>
      <c r="LCI37" s="41"/>
      <c r="LCT37" s="41"/>
      <c r="LDE37" s="41"/>
      <c r="LDP37" s="41"/>
      <c r="LEA37" s="41"/>
      <c r="LEL37" s="41"/>
      <c r="LEW37" s="41"/>
      <c r="LFH37" s="41"/>
      <c r="LFS37" s="41"/>
      <c r="LGD37" s="41"/>
      <c r="LGO37" s="41"/>
      <c r="LGZ37" s="41"/>
      <c r="LHK37" s="41"/>
      <c r="LHV37" s="41"/>
      <c r="LIG37" s="41"/>
      <c r="LIR37" s="41"/>
      <c r="LJC37" s="41"/>
      <c r="LJN37" s="41"/>
      <c r="LJY37" s="41"/>
      <c r="LKJ37" s="41"/>
      <c r="LKU37" s="41"/>
      <c r="LLF37" s="41"/>
      <c r="LLQ37" s="41"/>
      <c r="LMB37" s="41"/>
      <c r="LMM37" s="41"/>
      <c r="LMX37" s="41"/>
      <c r="LNI37" s="41"/>
      <c r="LNT37" s="41"/>
      <c r="LOE37" s="41"/>
      <c r="LOP37" s="41"/>
      <c r="LPA37" s="41"/>
      <c r="LPL37" s="41"/>
      <c r="LPW37" s="41"/>
      <c r="LQH37" s="41"/>
      <c r="LQS37" s="41"/>
      <c r="LRD37" s="41"/>
      <c r="LRO37" s="41"/>
      <c r="LRZ37" s="41"/>
      <c r="LSK37" s="41"/>
      <c r="LSV37" s="41"/>
      <c r="LTG37" s="41"/>
      <c r="LTR37" s="41"/>
      <c r="LUC37" s="41"/>
      <c r="LUN37" s="41"/>
      <c r="LUY37" s="41"/>
      <c r="LVJ37" s="41"/>
      <c r="LVU37" s="41"/>
      <c r="LWF37" s="41"/>
      <c r="LWQ37" s="41"/>
      <c r="LXB37" s="41"/>
      <c r="LXM37" s="41"/>
      <c r="LXX37" s="41"/>
      <c r="LYI37" s="41"/>
      <c r="LYT37" s="41"/>
      <c r="LZE37" s="41"/>
      <c r="LZP37" s="41"/>
      <c r="MAA37" s="41"/>
      <c r="MAL37" s="41"/>
      <c r="MAW37" s="41"/>
      <c r="MBH37" s="41"/>
      <c r="MBS37" s="41"/>
      <c r="MCD37" s="41"/>
      <c r="MCO37" s="41"/>
      <c r="MCZ37" s="41"/>
      <c r="MDK37" s="41"/>
      <c r="MDV37" s="41"/>
      <c r="MEG37" s="41"/>
      <c r="MER37" s="41"/>
      <c r="MFC37" s="41"/>
      <c r="MFN37" s="41"/>
      <c r="MFY37" s="41"/>
      <c r="MGJ37" s="41"/>
      <c r="MGU37" s="41"/>
      <c r="MHF37" s="41"/>
      <c r="MHQ37" s="41"/>
      <c r="MIB37" s="41"/>
      <c r="MIM37" s="41"/>
      <c r="MIX37" s="41"/>
      <c r="MJI37" s="41"/>
      <c r="MJT37" s="41"/>
      <c r="MKE37" s="41"/>
      <c r="MKP37" s="41"/>
      <c r="MLA37" s="41"/>
      <c r="MLL37" s="41"/>
      <c r="MLW37" s="41"/>
      <c r="MMH37" s="41"/>
      <c r="MMS37" s="41"/>
      <c r="MND37" s="41"/>
      <c r="MNO37" s="41"/>
      <c r="MNZ37" s="41"/>
      <c r="MOK37" s="41"/>
      <c r="MOV37" s="41"/>
      <c r="MPG37" s="41"/>
      <c r="MPR37" s="41"/>
      <c r="MQC37" s="41"/>
      <c r="MQN37" s="41"/>
      <c r="MQY37" s="41"/>
      <c r="MRJ37" s="41"/>
      <c r="MRU37" s="41"/>
      <c r="MSF37" s="41"/>
      <c r="MSQ37" s="41"/>
      <c r="MTB37" s="41"/>
      <c r="MTM37" s="41"/>
      <c r="MTX37" s="41"/>
      <c r="MUI37" s="41"/>
      <c r="MUT37" s="41"/>
      <c r="MVE37" s="41"/>
      <c r="MVP37" s="41"/>
      <c r="MWA37" s="41"/>
      <c r="MWL37" s="41"/>
      <c r="MWW37" s="41"/>
      <c r="MXH37" s="41"/>
      <c r="MXS37" s="41"/>
      <c r="MYD37" s="41"/>
      <c r="MYO37" s="41"/>
      <c r="MYZ37" s="41"/>
      <c r="MZK37" s="41"/>
      <c r="MZV37" s="41"/>
      <c r="NAG37" s="41"/>
      <c r="NAR37" s="41"/>
      <c r="NBC37" s="41"/>
      <c r="NBN37" s="41"/>
      <c r="NBY37" s="41"/>
      <c r="NCJ37" s="41"/>
      <c r="NCU37" s="41"/>
      <c r="NDF37" s="41"/>
      <c r="NDQ37" s="41"/>
      <c r="NEB37" s="41"/>
      <c r="NEM37" s="41"/>
      <c r="NEX37" s="41"/>
      <c r="NFI37" s="41"/>
      <c r="NFT37" s="41"/>
      <c r="NGE37" s="41"/>
      <c r="NGP37" s="41"/>
      <c r="NHA37" s="41"/>
      <c r="NHL37" s="41"/>
      <c r="NHW37" s="41"/>
      <c r="NIH37" s="41"/>
      <c r="NIS37" s="41"/>
      <c r="NJD37" s="41"/>
      <c r="NJO37" s="41"/>
      <c r="NJZ37" s="41"/>
      <c r="NKK37" s="41"/>
      <c r="NKV37" s="41"/>
      <c r="NLG37" s="41"/>
      <c r="NLR37" s="41"/>
      <c r="NMC37" s="41"/>
      <c r="NMN37" s="41"/>
      <c r="NMY37" s="41"/>
      <c r="NNJ37" s="41"/>
      <c r="NNU37" s="41"/>
      <c r="NOF37" s="41"/>
      <c r="NOQ37" s="41"/>
      <c r="NPB37" s="41"/>
      <c r="NPM37" s="41"/>
      <c r="NPX37" s="41"/>
      <c r="NQI37" s="41"/>
      <c r="NQT37" s="41"/>
      <c r="NRE37" s="41"/>
      <c r="NRP37" s="41"/>
      <c r="NSA37" s="41"/>
      <c r="NSL37" s="41"/>
      <c r="NSW37" s="41"/>
      <c r="NTH37" s="41"/>
      <c r="NTS37" s="41"/>
      <c r="NUD37" s="41"/>
      <c r="NUO37" s="41"/>
      <c r="NUZ37" s="41"/>
      <c r="NVK37" s="41"/>
      <c r="NVV37" s="41"/>
      <c r="NWG37" s="41"/>
      <c r="NWR37" s="41"/>
      <c r="NXC37" s="41"/>
      <c r="NXN37" s="41"/>
      <c r="NXY37" s="41"/>
      <c r="NYJ37" s="41"/>
      <c r="NYU37" s="41"/>
      <c r="NZF37" s="41"/>
      <c r="NZQ37" s="41"/>
      <c r="OAB37" s="41"/>
      <c r="OAM37" s="41"/>
      <c r="OAX37" s="41"/>
      <c r="OBI37" s="41"/>
      <c r="OBT37" s="41"/>
      <c r="OCE37" s="41"/>
      <c r="OCP37" s="41"/>
      <c r="ODA37" s="41"/>
      <c r="ODL37" s="41"/>
      <c r="ODW37" s="41"/>
      <c r="OEH37" s="41"/>
      <c r="OES37" s="41"/>
      <c r="OFD37" s="41"/>
      <c r="OFO37" s="41"/>
      <c r="OFZ37" s="41"/>
      <c r="OGK37" s="41"/>
      <c r="OGV37" s="41"/>
      <c r="OHG37" s="41"/>
      <c r="OHR37" s="41"/>
      <c r="OIC37" s="41"/>
      <c r="OIN37" s="41"/>
      <c r="OIY37" s="41"/>
      <c r="OJJ37" s="41"/>
      <c r="OJU37" s="41"/>
      <c r="OKF37" s="41"/>
      <c r="OKQ37" s="41"/>
      <c r="OLB37" s="41"/>
      <c r="OLM37" s="41"/>
      <c r="OLX37" s="41"/>
      <c r="OMI37" s="41"/>
      <c r="OMT37" s="41"/>
      <c r="ONE37" s="41"/>
      <c r="ONP37" s="41"/>
      <c r="OOA37" s="41"/>
      <c r="OOL37" s="41"/>
      <c r="OOW37" s="41"/>
      <c r="OPH37" s="41"/>
      <c r="OPS37" s="41"/>
      <c r="OQD37" s="41"/>
      <c r="OQO37" s="41"/>
      <c r="OQZ37" s="41"/>
      <c r="ORK37" s="41"/>
      <c r="ORV37" s="41"/>
      <c r="OSG37" s="41"/>
      <c r="OSR37" s="41"/>
      <c r="OTC37" s="41"/>
      <c r="OTN37" s="41"/>
      <c r="OTY37" s="41"/>
      <c r="OUJ37" s="41"/>
      <c r="OUU37" s="41"/>
      <c r="OVF37" s="41"/>
      <c r="OVQ37" s="41"/>
      <c r="OWB37" s="41"/>
      <c r="OWM37" s="41"/>
      <c r="OWX37" s="41"/>
      <c r="OXI37" s="41"/>
      <c r="OXT37" s="41"/>
      <c r="OYE37" s="41"/>
      <c r="OYP37" s="41"/>
      <c r="OZA37" s="41"/>
      <c r="OZL37" s="41"/>
      <c r="OZW37" s="41"/>
      <c r="PAH37" s="41"/>
      <c r="PAS37" s="41"/>
      <c r="PBD37" s="41"/>
      <c r="PBO37" s="41"/>
      <c r="PBZ37" s="41"/>
      <c r="PCK37" s="41"/>
      <c r="PCV37" s="41"/>
      <c r="PDG37" s="41"/>
      <c r="PDR37" s="41"/>
      <c r="PEC37" s="41"/>
      <c r="PEN37" s="41"/>
      <c r="PEY37" s="41"/>
      <c r="PFJ37" s="41"/>
      <c r="PFU37" s="41"/>
      <c r="PGF37" s="41"/>
      <c r="PGQ37" s="41"/>
      <c r="PHB37" s="41"/>
      <c r="PHM37" s="41"/>
      <c r="PHX37" s="41"/>
      <c r="PII37" s="41"/>
      <c r="PIT37" s="41"/>
      <c r="PJE37" s="41"/>
      <c r="PJP37" s="41"/>
      <c r="PKA37" s="41"/>
      <c r="PKL37" s="41"/>
      <c r="PKW37" s="41"/>
      <c r="PLH37" s="41"/>
      <c r="PLS37" s="41"/>
      <c r="PMD37" s="41"/>
      <c r="PMO37" s="41"/>
      <c r="PMZ37" s="41"/>
      <c r="PNK37" s="41"/>
      <c r="PNV37" s="41"/>
      <c r="POG37" s="41"/>
      <c r="POR37" s="41"/>
      <c r="PPC37" s="41"/>
      <c r="PPN37" s="41"/>
      <c r="PPY37" s="41"/>
      <c r="PQJ37" s="41"/>
      <c r="PQU37" s="41"/>
      <c r="PRF37" s="41"/>
      <c r="PRQ37" s="41"/>
      <c r="PSB37" s="41"/>
      <c r="PSM37" s="41"/>
      <c r="PSX37" s="41"/>
      <c r="PTI37" s="41"/>
      <c r="PTT37" s="41"/>
      <c r="PUE37" s="41"/>
      <c r="PUP37" s="41"/>
      <c r="PVA37" s="41"/>
      <c r="PVL37" s="41"/>
      <c r="PVW37" s="41"/>
      <c r="PWH37" s="41"/>
      <c r="PWS37" s="41"/>
      <c r="PXD37" s="41"/>
      <c r="PXO37" s="41"/>
      <c r="PXZ37" s="41"/>
      <c r="PYK37" s="41"/>
      <c r="PYV37" s="41"/>
      <c r="PZG37" s="41"/>
      <c r="PZR37" s="41"/>
      <c r="QAC37" s="41"/>
      <c r="QAN37" s="41"/>
      <c r="QAY37" s="41"/>
      <c r="QBJ37" s="41"/>
      <c r="QBU37" s="41"/>
      <c r="QCF37" s="41"/>
      <c r="QCQ37" s="41"/>
      <c r="QDB37" s="41"/>
      <c r="QDM37" s="41"/>
      <c r="QDX37" s="41"/>
      <c r="QEI37" s="41"/>
      <c r="QET37" s="41"/>
      <c r="QFE37" s="41"/>
      <c r="QFP37" s="41"/>
      <c r="QGA37" s="41"/>
      <c r="QGL37" s="41"/>
      <c r="QGW37" s="41"/>
      <c r="QHH37" s="41"/>
      <c r="QHS37" s="41"/>
      <c r="QID37" s="41"/>
      <c r="QIO37" s="41"/>
      <c r="QIZ37" s="41"/>
      <c r="QJK37" s="41"/>
      <c r="QJV37" s="41"/>
      <c r="QKG37" s="41"/>
      <c r="QKR37" s="41"/>
      <c r="QLC37" s="41"/>
      <c r="QLN37" s="41"/>
      <c r="QLY37" s="41"/>
      <c r="QMJ37" s="41"/>
      <c r="QMU37" s="41"/>
      <c r="QNF37" s="41"/>
      <c r="QNQ37" s="41"/>
      <c r="QOB37" s="41"/>
      <c r="QOM37" s="41"/>
      <c r="QOX37" s="41"/>
      <c r="QPI37" s="41"/>
      <c r="QPT37" s="41"/>
      <c r="QQE37" s="41"/>
      <c r="QQP37" s="41"/>
      <c r="QRA37" s="41"/>
      <c r="QRL37" s="41"/>
      <c r="QRW37" s="41"/>
      <c r="QSH37" s="41"/>
      <c r="QSS37" s="41"/>
      <c r="QTD37" s="41"/>
      <c r="QTO37" s="41"/>
      <c r="QTZ37" s="41"/>
      <c r="QUK37" s="41"/>
      <c r="QUV37" s="41"/>
      <c r="QVG37" s="41"/>
      <c r="QVR37" s="41"/>
      <c r="QWC37" s="41"/>
      <c r="QWN37" s="41"/>
      <c r="QWY37" s="41"/>
      <c r="QXJ37" s="41"/>
      <c r="QXU37" s="41"/>
      <c r="QYF37" s="41"/>
      <c r="QYQ37" s="41"/>
      <c r="QZB37" s="41"/>
      <c r="QZM37" s="41"/>
      <c r="QZX37" s="41"/>
      <c r="RAI37" s="41"/>
      <c r="RAT37" s="41"/>
      <c r="RBE37" s="41"/>
      <c r="RBP37" s="41"/>
      <c r="RCA37" s="41"/>
      <c r="RCL37" s="41"/>
      <c r="RCW37" s="41"/>
      <c r="RDH37" s="41"/>
      <c r="RDS37" s="41"/>
      <c r="RED37" s="41"/>
      <c r="REO37" s="41"/>
      <c r="REZ37" s="41"/>
      <c r="RFK37" s="41"/>
      <c r="RFV37" s="41"/>
      <c r="RGG37" s="41"/>
      <c r="RGR37" s="41"/>
      <c r="RHC37" s="41"/>
      <c r="RHN37" s="41"/>
      <c r="RHY37" s="41"/>
      <c r="RIJ37" s="41"/>
      <c r="RIU37" s="41"/>
      <c r="RJF37" s="41"/>
      <c r="RJQ37" s="41"/>
      <c r="RKB37" s="41"/>
      <c r="RKM37" s="41"/>
      <c r="RKX37" s="41"/>
      <c r="RLI37" s="41"/>
      <c r="RLT37" s="41"/>
      <c r="RME37" s="41"/>
      <c r="RMP37" s="41"/>
      <c r="RNA37" s="41"/>
      <c r="RNL37" s="41"/>
      <c r="RNW37" s="41"/>
      <c r="ROH37" s="41"/>
      <c r="ROS37" s="41"/>
      <c r="RPD37" s="41"/>
      <c r="RPO37" s="41"/>
      <c r="RPZ37" s="41"/>
      <c r="RQK37" s="41"/>
      <c r="RQV37" s="41"/>
      <c r="RRG37" s="41"/>
      <c r="RRR37" s="41"/>
      <c r="RSC37" s="41"/>
      <c r="RSN37" s="41"/>
      <c r="RSY37" s="41"/>
      <c r="RTJ37" s="41"/>
      <c r="RTU37" s="41"/>
      <c r="RUF37" s="41"/>
      <c r="RUQ37" s="41"/>
      <c r="RVB37" s="41"/>
      <c r="RVM37" s="41"/>
      <c r="RVX37" s="41"/>
      <c r="RWI37" s="41"/>
      <c r="RWT37" s="41"/>
      <c r="RXE37" s="41"/>
      <c r="RXP37" s="41"/>
      <c r="RYA37" s="41"/>
      <c r="RYL37" s="41"/>
      <c r="RYW37" s="41"/>
      <c r="RZH37" s="41"/>
      <c r="RZS37" s="41"/>
      <c r="SAD37" s="41"/>
      <c r="SAO37" s="41"/>
      <c r="SAZ37" s="41"/>
      <c r="SBK37" s="41"/>
      <c r="SBV37" s="41"/>
      <c r="SCG37" s="41"/>
      <c r="SCR37" s="41"/>
      <c r="SDC37" s="41"/>
      <c r="SDN37" s="41"/>
      <c r="SDY37" s="41"/>
      <c r="SEJ37" s="41"/>
      <c r="SEU37" s="41"/>
      <c r="SFF37" s="41"/>
      <c r="SFQ37" s="41"/>
      <c r="SGB37" s="41"/>
      <c r="SGM37" s="41"/>
      <c r="SGX37" s="41"/>
      <c r="SHI37" s="41"/>
      <c r="SHT37" s="41"/>
      <c r="SIE37" s="41"/>
      <c r="SIP37" s="41"/>
      <c r="SJA37" s="41"/>
      <c r="SJL37" s="41"/>
      <c r="SJW37" s="41"/>
      <c r="SKH37" s="41"/>
      <c r="SKS37" s="41"/>
      <c r="SLD37" s="41"/>
      <c r="SLO37" s="41"/>
      <c r="SLZ37" s="41"/>
      <c r="SMK37" s="41"/>
      <c r="SMV37" s="41"/>
      <c r="SNG37" s="41"/>
      <c r="SNR37" s="41"/>
      <c r="SOC37" s="41"/>
      <c r="SON37" s="41"/>
      <c r="SOY37" s="41"/>
      <c r="SPJ37" s="41"/>
      <c r="SPU37" s="41"/>
      <c r="SQF37" s="41"/>
      <c r="SQQ37" s="41"/>
      <c r="SRB37" s="41"/>
      <c r="SRM37" s="41"/>
      <c r="SRX37" s="41"/>
      <c r="SSI37" s="41"/>
      <c r="SST37" s="41"/>
      <c r="STE37" s="41"/>
      <c r="STP37" s="41"/>
      <c r="SUA37" s="41"/>
      <c r="SUL37" s="41"/>
      <c r="SUW37" s="41"/>
      <c r="SVH37" s="41"/>
      <c r="SVS37" s="41"/>
      <c r="SWD37" s="41"/>
      <c r="SWO37" s="41"/>
      <c r="SWZ37" s="41"/>
      <c r="SXK37" s="41"/>
      <c r="SXV37" s="41"/>
      <c r="SYG37" s="41"/>
      <c r="SYR37" s="41"/>
      <c r="SZC37" s="41"/>
      <c r="SZN37" s="41"/>
      <c r="SZY37" s="41"/>
      <c r="TAJ37" s="41"/>
      <c r="TAU37" s="41"/>
      <c r="TBF37" s="41"/>
      <c r="TBQ37" s="41"/>
      <c r="TCB37" s="41"/>
      <c r="TCM37" s="41"/>
      <c r="TCX37" s="41"/>
      <c r="TDI37" s="41"/>
      <c r="TDT37" s="41"/>
      <c r="TEE37" s="41"/>
      <c r="TEP37" s="41"/>
      <c r="TFA37" s="41"/>
      <c r="TFL37" s="41"/>
      <c r="TFW37" s="41"/>
      <c r="TGH37" s="41"/>
      <c r="TGS37" s="41"/>
      <c r="THD37" s="41"/>
      <c r="THO37" s="41"/>
      <c r="THZ37" s="41"/>
      <c r="TIK37" s="41"/>
      <c r="TIV37" s="41"/>
      <c r="TJG37" s="41"/>
      <c r="TJR37" s="41"/>
      <c r="TKC37" s="41"/>
      <c r="TKN37" s="41"/>
      <c r="TKY37" s="41"/>
      <c r="TLJ37" s="41"/>
      <c r="TLU37" s="41"/>
      <c r="TMF37" s="41"/>
      <c r="TMQ37" s="41"/>
      <c r="TNB37" s="41"/>
      <c r="TNM37" s="41"/>
      <c r="TNX37" s="41"/>
      <c r="TOI37" s="41"/>
      <c r="TOT37" s="41"/>
      <c r="TPE37" s="41"/>
      <c r="TPP37" s="41"/>
      <c r="TQA37" s="41"/>
      <c r="TQL37" s="41"/>
      <c r="TQW37" s="41"/>
      <c r="TRH37" s="41"/>
      <c r="TRS37" s="41"/>
      <c r="TSD37" s="41"/>
      <c r="TSO37" s="41"/>
      <c r="TSZ37" s="41"/>
      <c r="TTK37" s="41"/>
      <c r="TTV37" s="41"/>
      <c r="TUG37" s="41"/>
      <c r="TUR37" s="41"/>
      <c r="TVC37" s="41"/>
      <c r="TVN37" s="41"/>
      <c r="TVY37" s="41"/>
      <c r="TWJ37" s="41"/>
      <c r="TWU37" s="41"/>
      <c r="TXF37" s="41"/>
      <c r="TXQ37" s="41"/>
      <c r="TYB37" s="41"/>
      <c r="TYM37" s="41"/>
      <c r="TYX37" s="41"/>
      <c r="TZI37" s="41"/>
      <c r="TZT37" s="41"/>
      <c r="UAE37" s="41"/>
      <c r="UAP37" s="41"/>
      <c r="UBA37" s="41"/>
      <c r="UBL37" s="41"/>
      <c r="UBW37" s="41"/>
      <c r="UCH37" s="41"/>
      <c r="UCS37" s="41"/>
      <c r="UDD37" s="41"/>
      <c r="UDO37" s="41"/>
      <c r="UDZ37" s="41"/>
      <c r="UEK37" s="41"/>
      <c r="UEV37" s="41"/>
      <c r="UFG37" s="41"/>
      <c r="UFR37" s="41"/>
      <c r="UGC37" s="41"/>
      <c r="UGN37" s="41"/>
      <c r="UGY37" s="41"/>
      <c r="UHJ37" s="41"/>
      <c r="UHU37" s="41"/>
      <c r="UIF37" s="41"/>
      <c r="UIQ37" s="41"/>
      <c r="UJB37" s="41"/>
      <c r="UJM37" s="41"/>
      <c r="UJX37" s="41"/>
      <c r="UKI37" s="41"/>
      <c r="UKT37" s="41"/>
      <c r="ULE37" s="41"/>
      <c r="ULP37" s="41"/>
      <c r="UMA37" s="41"/>
      <c r="UML37" s="41"/>
      <c r="UMW37" s="41"/>
      <c r="UNH37" s="41"/>
      <c r="UNS37" s="41"/>
      <c r="UOD37" s="41"/>
      <c r="UOO37" s="41"/>
      <c r="UOZ37" s="41"/>
      <c r="UPK37" s="41"/>
      <c r="UPV37" s="41"/>
      <c r="UQG37" s="41"/>
      <c r="UQR37" s="41"/>
      <c r="URC37" s="41"/>
      <c r="URN37" s="41"/>
      <c r="URY37" s="41"/>
      <c r="USJ37" s="41"/>
      <c r="USU37" s="41"/>
      <c r="UTF37" s="41"/>
      <c r="UTQ37" s="41"/>
      <c r="UUB37" s="41"/>
      <c r="UUM37" s="41"/>
      <c r="UUX37" s="41"/>
      <c r="UVI37" s="41"/>
      <c r="UVT37" s="41"/>
      <c r="UWE37" s="41"/>
      <c r="UWP37" s="41"/>
      <c r="UXA37" s="41"/>
      <c r="UXL37" s="41"/>
      <c r="UXW37" s="41"/>
      <c r="UYH37" s="41"/>
      <c r="UYS37" s="41"/>
      <c r="UZD37" s="41"/>
      <c r="UZO37" s="41"/>
      <c r="UZZ37" s="41"/>
      <c r="VAK37" s="41"/>
      <c r="VAV37" s="41"/>
      <c r="VBG37" s="41"/>
      <c r="VBR37" s="41"/>
      <c r="VCC37" s="41"/>
      <c r="VCN37" s="41"/>
      <c r="VCY37" s="41"/>
      <c r="VDJ37" s="41"/>
      <c r="VDU37" s="41"/>
      <c r="VEF37" s="41"/>
      <c r="VEQ37" s="41"/>
      <c r="VFB37" s="41"/>
      <c r="VFM37" s="41"/>
      <c r="VFX37" s="41"/>
      <c r="VGI37" s="41"/>
      <c r="VGT37" s="41"/>
      <c r="VHE37" s="41"/>
      <c r="VHP37" s="41"/>
      <c r="VIA37" s="41"/>
      <c r="VIL37" s="41"/>
      <c r="VIW37" s="41"/>
      <c r="VJH37" s="41"/>
      <c r="VJS37" s="41"/>
      <c r="VKD37" s="41"/>
      <c r="VKO37" s="41"/>
      <c r="VKZ37" s="41"/>
      <c r="VLK37" s="41"/>
      <c r="VLV37" s="41"/>
      <c r="VMG37" s="41"/>
      <c r="VMR37" s="41"/>
      <c r="VNC37" s="41"/>
      <c r="VNN37" s="41"/>
      <c r="VNY37" s="41"/>
      <c r="VOJ37" s="41"/>
      <c r="VOU37" s="41"/>
      <c r="VPF37" s="41"/>
      <c r="VPQ37" s="41"/>
      <c r="VQB37" s="41"/>
      <c r="VQM37" s="41"/>
      <c r="VQX37" s="41"/>
      <c r="VRI37" s="41"/>
      <c r="VRT37" s="41"/>
      <c r="VSE37" s="41"/>
      <c r="VSP37" s="41"/>
      <c r="VTA37" s="41"/>
      <c r="VTL37" s="41"/>
      <c r="VTW37" s="41"/>
      <c r="VUH37" s="41"/>
      <c r="VUS37" s="41"/>
      <c r="VVD37" s="41"/>
      <c r="VVO37" s="41"/>
      <c r="VVZ37" s="41"/>
      <c r="VWK37" s="41"/>
      <c r="VWV37" s="41"/>
      <c r="VXG37" s="41"/>
      <c r="VXR37" s="41"/>
      <c r="VYC37" s="41"/>
      <c r="VYN37" s="41"/>
      <c r="VYY37" s="41"/>
      <c r="VZJ37" s="41"/>
      <c r="VZU37" s="41"/>
      <c r="WAF37" s="41"/>
      <c r="WAQ37" s="41"/>
      <c r="WBB37" s="41"/>
      <c r="WBM37" s="41"/>
      <c r="WBX37" s="41"/>
      <c r="WCI37" s="41"/>
      <c r="WCT37" s="41"/>
      <c r="WDE37" s="41"/>
      <c r="WDP37" s="41"/>
      <c r="WEA37" s="41"/>
      <c r="WEL37" s="41"/>
      <c r="WEW37" s="41"/>
      <c r="WFH37" s="41"/>
      <c r="WFS37" s="41"/>
      <c r="WGD37" s="41"/>
      <c r="WGO37" s="41"/>
      <c r="WGZ37" s="41"/>
      <c r="WHK37" s="41"/>
      <c r="WHV37" s="41"/>
      <c r="WIG37" s="41"/>
      <c r="WIR37" s="41"/>
      <c r="WJC37" s="41"/>
      <c r="WJN37" s="41"/>
      <c r="WJY37" s="41"/>
      <c r="WKJ37" s="41"/>
      <c r="WKU37" s="41"/>
      <c r="WLF37" s="41"/>
      <c r="WLQ37" s="41"/>
      <c r="WMB37" s="41"/>
      <c r="WMM37" s="41"/>
      <c r="WMX37" s="41"/>
      <c r="WNI37" s="41"/>
      <c r="WNT37" s="41"/>
      <c r="WOE37" s="41"/>
      <c r="WOP37" s="41"/>
      <c r="WPA37" s="41"/>
      <c r="WPL37" s="41"/>
      <c r="WPW37" s="41"/>
      <c r="WQH37" s="41"/>
      <c r="WQS37" s="41"/>
      <c r="WRD37" s="41"/>
      <c r="WRO37" s="41"/>
      <c r="WRZ37" s="41"/>
      <c r="WSK37" s="41"/>
      <c r="WSV37" s="41"/>
      <c r="WTG37" s="41"/>
      <c r="WTR37" s="41"/>
      <c r="WUC37" s="41"/>
      <c r="WUN37" s="41"/>
      <c r="WUY37" s="41"/>
      <c r="WVJ37" s="41"/>
      <c r="WVU37" s="41"/>
      <c r="WWF37" s="41"/>
      <c r="WWQ37" s="41"/>
      <c r="WXB37" s="41"/>
      <c r="WXM37" s="41"/>
      <c r="WXX37" s="41"/>
      <c r="WYI37" s="41"/>
      <c r="WYT37" s="41"/>
      <c r="WZE37" s="41"/>
      <c r="WZP37" s="41"/>
      <c r="XAA37" s="41"/>
      <c r="XAL37" s="41"/>
      <c r="XAW37" s="41"/>
      <c r="XBH37" s="41"/>
      <c r="XBS37" s="41"/>
      <c r="XCD37" s="41"/>
      <c r="XCO37" s="41"/>
      <c r="XCZ37" s="41"/>
      <c r="XDK37" s="41"/>
      <c r="XDV37" s="41"/>
      <c r="XEG37" s="41"/>
      <c r="XER37" s="41"/>
      <c r="XFC37" s="41"/>
    </row>
    <row r="38" spans="4:1016 1027:2039 2050:3062 3073:4096 4107:5119 5130:6142 6153:7165 7176:8188 8199:9211 9222:10234 10245:11257 11268:12280 12291:13303 13314:14326 14337:15360 15371:16383" s="40" customFormat="1" ht="17.25" customHeight="1">
      <c r="F38" s="41"/>
      <c r="G38" s="215" t="s">
        <v>396</v>
      </c>
      <c r="H38" s="215"/>
      <c r="I38" s="215"/>
      <c r="J38" s="216" t="s">
        <v>397</v>
      </c>
      <c r="K38" s="216"/>
      <c r="L38" s="216"/>
      <c r="P38" s="221"/>
      <c r="Q38" s="221"/>
      <c r="R38" s="221"/>
      <c r="S38" s="221"/>
      <c r="T38" s="221"/>
      <c r="U38" s="204"/>
      <c r="V38" s="204"/>
      <c r="W38" s="204"/>
      <c r="X38" s="204"/>
      <c r="Y38" s="204"/>
      <c r="Z38" s="204"/>
      <c r="AK38" s="41"/>
      <c r="AV38" s="41"/>
      <c r="BG38" s="41"/>
      <c r="BR38" s="41"/>
      <c r="CC38" s="41"/>
      <c r="CN38" s="41"/>
      <c r="CY38" s="41"/>
      <c r="DJ38" s="41"/>
      <c r="DU38" s="41"/>
      <c r="EF38" s="41"/>
      <c r="EQ38" s="41"/>
      <c r="FB38" s="41"/>
      <c r="FM38" s="41"/>
      <c r="FX38" s="41"/>
      <c r="GI38" s="41"/>
      <c r="GT38" s="41"/>
      <c r="HE38" s="41"/>
      <c r="HP38" s="41"/>
      <c r="IA38" s="41"/>
      <c r="IL38" s="41"/>
      <c r="IW38" s="41"/>
      <c r="JH38" s="41"/>
      <c r="JS38" s="41"/>
      <c r="KD38" s="41"/>
      <c r="KO38" s="41"/>
      <c r="KZ38" s="41"/>
      <c r="LK38" s="41"/>
      <c r="LV38" s="41"/>
      <c r="MG38" s="41"/>
      <c r="MR38" s="41"/>
      <c r="NC38" s="41"/>
      <c r="NN38" s="41"/>
      <c r="NY38" s="41"/>
      <c r="OJ38" s="41"/>
      <c r="OU38" s="41"/>
      <c r="PF38" s="41"/>
      <c r="PQ38" s="41"/>
      <c r="QB38" s="41"/>
      <c r="QM38" s="41"/>
      <c r="QX38" s="41"/>
      <c r="RI38" s="41"/>
      <c r="RT38" s="41"/>
      <c r="SE38" s="41"/>
      <c r="SP38" s="41"/>
      <c r="TA38" s="41"/>
      <c r="TL38" s="41"/>
      <c r="TW38" s="41"/>
      <c r="UH38" s="41"/>
      <c r="US38" s="41"/>
      <c r="VD38" s="41"/>
      <c r="VO38" s="41"/>
      <c r="VZ38" s="41"/>
      <c r="WK38" s="41"/>
      <c r="WV38" s="41"/>
      <c r="XG38" s="41"/>
      <c r="XR38" s="41"/>
      <c r="YC38" s="41"/>
      <c r="YN38" s="41"/>
      <c r="YY38" s="41"/>
      <c r="ZJ38" s="41"/>
      <c r="ZU38" s="41"/>
      <c r="AAF38" s="41"/>
      <c r="AAQ38" s="41"/>
      <c r="ABB38" s="41"/>
      <c r="ABM38" s="41"/>
      <c r="ABX38" s="41"/>
      <c r="ACI38" s="41"/>
      <c r="ACT38" s="41"/>
      <c r="ADE38" s="41"/>
      <c r="ADP38" s="41"/>
      <c r="AEA38" s="41"/>
      <c r="AEL38" s="41"/>
      <c r="AEW38" s="41"/>
      <c r="AFH38" s="41"/>
      <c r="AFS38" s="41"/>
      <c r="AGD38" s="41"/>
      <c r="AGO38" s="41"/>
      <c r="AGZ38" s="41"/>
      <c r="AHK38" s="41"/>
      <c r="AHV38" s="41"/>
      <c r="AIG38" s="41"/>
      <c r="AIR38" s="41"/>
      <c r="AJC38" s="41"/>
      <c r="AJN38" s="41"/>
      <c r="AJY38" s="41"/>
      <c r="AKJ38" s="41"/>
      <c r="AKU38" s="41"/>
      <c r="ALF38" s="41"/>
      <c r="ALQ38" s="41"/>
      <c r="AMB38" s="41"/>
      <c r="AMM38" s="41"/>
      <c r="AMX38" s="41"/>
      <c r="ANI38" s="41"/>
      <c r="ANT38" s="41"/>
      <c r="AOE38" s="41"/>
      <c r="AOP38" s="41"/>
      <c r="APA38" s="41"/>
      <c r="APL38" s="41"/>
      <c r="APW38" s="41"/>
      <c r="AQH38" s="41"/>
      <c r="AQS38" s="41"/>
      <c r="ARD38" s="41"/>
      <c r="ARO38" s="41"/>
      <c r="ARZ38" s="41"/>
      <c r="ASK38" s="41"/>
      <c r="ASV38" s="41"/>
      <c r="ATG38" s="41"/>
      <c r="ATR38" s="41"/>
      <c r="AUC38" s="41"/>
      <c r="AUN38" s="41"/>
      <c r="AUY38" s="41"/>
      <c r="AVJ38" s="41"/>
      <c r="AVU38" s="41"/>
      <c r="AWF38" s="41"/>
      <c r="AWQ38" s="41"/>
      <c r="AXB38" s="41"/>
      <c r="AXM38" s="41"/>
      <c r="AXX38" s="41"/>
      <c r="AYI38" s="41"/>
      <c r="AYT38" s="41"/>
      <c r="AZE38" s="41"/>
      <c r="AZP38" s="41"/>
      <c r="BAA38" s="41"/>
      <c r="BAL38" s="41"/>
      <c r="BAW38" s="41"/>
      <c r="BBH38" s="41"/>
      <c r="BBS38" s="41"/>
      <c r="BCD38" s="41"/>
      <c r="BCO38" s="41"/>
      <c r="BCZ38" s="41"/>
      <c r="BDK38" s="41"/>
      <c r="BDV38" s="41"/>
      <c r="BEG38" s="41"/>
      <c r="BER38" s="41"/>
      <c r="BFC38" s="41"/>
      <c r="BFN38" s="41"/>
      <c r="BFY38" s="41"/>
      <c r="BGJ38" s="41"/>
      <c r="BGU38" s="41"/>
      <c r="BHF38" s="41"/>
      <c r="BHQ38" s="41"/>
      <c r="BIB38" s="41"/>
      <c r="BIM38" s="41"/>
      <c r="BIX38" s="41"/>
      <c r="BJI38" s="41"/>
      <c r="BJT38" s="41"/>
      <c r="BKE38" s="41"/>
      <c r="BKP38" s="41"/>
      <c r="BLA38" s="41"/>
      <c r="BLL38" s="41"/>
      <c r="BLW38" s="41"/>
      <c r="BMH38" s="41"/>
      <c r="BMS38" s="41"/>
      <c r="BND38" s="41"/>
      <c r="BNO38" s="41"/>
      <c r="BNZ38" s="41"/>
      <c r="BOK38" s="41"/>
      <c r="BOV38" s="41"/>
      <c r="BPG38" s="41"/>
      <c r="BPR38" s="41"/>
      <c r="BQC38" s="41"/>
      <c r="BQN38" s="41"/>
      <c r="BQY38" s="41"/>
      <c r="BRJ38" s="41"/>
      <c r="BRU38" s="41"/>
      <c r="BSF38" s="41"/>
      <c r="BSQ38" s="41"/>
      <c r="BTB38" s="41"/>
      <c r="BTM38" s="41"/>
      <c r="BTX38" s="41"/>
      <c r="BUI38" s="41"/>
      <c r="BUT38" s="41"/>
      <c r="BVE38" s="41"/>
      <c r="BVP38" s="41"/>
      <c r="BWA38" s="41"/>
      <c r="BWL38" s="41"/>
      <c r="BWW38" s="41"/>
      <c r="BXH38" s="41"/>
      <c r="BXS38" s="41"/>
      <c r="BYD38" s="41"/>
      <c r="BYO38" s="41"/>
      <c r="BYZ38" s="41"/>
      <c r="BZK38" s="41"/>
      <c r="BZV38" s="41"/>
      <c r="CAG38" s="41"/>
      <c r="CAR38" s="41"/>
      <c r="CBC38" s="41"/>
      <c r="CBN38" s="41"/>
      <c r="CBY38" s="41"/>
      <c r="CCJ38" s="41"/>
      <c r="CCU38" s="41"/>
      <c r="CDF38" s="41"/>
      <c r="CDQ38" s="41"/>
      <c r="CEB38" s="41"/>
      <c r="CEM38" s="41"/>
      <c r="CEX38" s="41"/>
      <c r="CFI38" s="41"/>
      <c r="CFT38" s="41"/>
      <c r="CGE38" s="41"/>
      <c r="CGP38" s="41"/>
      <c r="CHA38" s="41"/>
      <c r="CHL38" s="41"/>
      <c r="CHW38" s="41"/>
      <c r="CIH38" s="41"/>
      <c r="CIS38" s="41"/>
      <c r="CJD38" s="41"/>
      <c r="CJO38" s="41"/>
      <c r="CJZ38" s="41"/>
      <c r="CKK38" s="41"/>
      <c r="CKV38" s="41"/>
      <c r="CLG38" s="41"/>
      <c r="CLR38" s="41"/>
      <c r="CMC38" s="41"/>
      <c r="CMN38" s="41"/>
      <c r="CMY38" s="41"/>
      <c r="CNJ38" s="41"/>
      <c r="CNU38" s="41"/>
      <c r="COF38" s="41"/>
      <c r="COQ38" s="41"/>
      <c r="CPB38" s="41"/>
      <c r="CPM38" s="41"/>
      <c r="CPX38" s="41"/>
      <c r="CQI38" s="41"/>
      <c r="CQT38" s="41"/>
      <c r="CRE38" s="41"/>
      <c r="CRP38" s="41"/>
      <c r="CSA38" s="41"/>
      <c r="CSL38" s="41"/>
      <c r="CSW38" s="41"/>
      <c r="CTH38" s="41"/>
      <c r="CTS38" s="41"/>
      <c r="CUD38" s="41"/>
      <c r="CUO38" s="41"/>
      <c r="CUZ38" s="41"/>
      <c r="CVK38" s="41"/>
      <c r="CVV38" s="41"/>
      <c r="CWG38" s="41"/>
      <c r="CWR38" s="41"/>
      <c r="CXC38" s="41"/>
      <c r="CXN38" s="41"/>
      <c r="CXY38" s="41"/>
      <c r="CYJ38" s="41"/>
      <c r="CYU38" s="41"/>
      <c r="CZF38" s="41"/>
      <c r="CZQ38" s="41"/>
      <c r="DAB38" s="41"/>
      <c r="DAM38" s="41"/>
      <c r="DAX38" s="41"/>
      <c r="DBI38" s="41"/>
      <c r="DBT38" s="41"/>
      <c r="DCE38" s="41"/>
      <c r="DCP38" s="41"/>
      <c r="DDA38" s="41"/>
      <c r="DDL38" s="41"/>
      <c r="DDW38" s="41"/>
      <c r="DEH38" s="41"/>
      <c r="DES38" s="41"/>
      <c r="DFD38" s="41"/>
      <c r="DFO38" s="41"/>
      <c r="DFZ38" s="41"/>
      <c r="DGK38" s="41"/>
      <c r="DGV38" s="41"/>
      <c r="DHG38" s="41"/>
      <c r="DHR38" s="41"/>
      <c r="DIC38" s="41"/>
      <c r="DIN38" s="41"/>
      <c r="DIY38" s="41"/>
      <c r="DJJ38" s="41"/>
      <c r="DJU38" s="41"/>
      <c r="DKF38" s="41"/>
      <c r="DKQ38" s="41"/>
      <c r="DLB38" s="41"/>
      <c r="DLM38" s="41"/>
      <c r="DLX38" s="41"/>
      <c r="DMI38" s="41"/>
      <c r="DMT38" s="41"/>
      <c r="DNE38" s="41"/>
      <c r="DNP38" s="41"/>
      <c r="DOA38" s="41"/>
      <c r="DOL38" s="41"/>
      <c r="DOW38" s="41"/>
      <c r="DPH38" s="41"/>
      <c r="DPS38" s="41"/>
      <c r="DQD38" s="41"/>
      <c r="DQO38" s="41"/>
      <c r="DQZ38" s="41"/>
      <c r="DRK38" s="41"/>
      <c r="DRV38" s="41"/>
      <c r="DSG38" s="41"/>
      <c r="DSR38" s="41"/>
      <c r="DTC38" s="41"/>
      <c r="DTN38" s="41"/>
      <c r="DTY38" s="41"/>
      <c r="DUJ38" s="41"/>
      <c r="DUU38" s="41"/>
      <c r="DVF38" s="41"/>
      <c r="DVQ38" s="41"/>
      <c r="DWB38" s="41"/>
      <c r="DWM38" s="41"/>
      <c r="DWX38" s="41"/>
      <c r="DXI38" s="41"/>
      <c r="DXT38" s="41"/>
      <c r="DYE38" s="41"/>
      <c r="DYP38" s="41"/>
      <c r="DZA38" s="41"/>
      <c r="DZL38" s="41"/>
      <c r="DZW38" s="41"/>
      <c r="EAH38" s="41"/>
      <c r="EAS38" s="41"/>
      <c r="EBD38" s="41"/>
      <c r="EBO38" s="41"/>
      <c r="EBZ38" s="41"/>
      <c r="ECK38" s="41"/>
      <c r="ECV38" s="41"/>
      <c r="EDG38" s="41"/>
      <c r="EDR38" s="41"/>
      <c r="EEC38" s="41"/>
      <c r="EEN38" s="41"/>
      <c r="EEY38" s="41"/>
      <c r="EFJ38" s="41"/>
      <c r="EFU38" s="41"/>
      <c r="EGF38" s="41"/>
      <c r="EGQ38" s="41"/>
      <c r="EHB38" s="41"/>
      <c r="EHM38" s="41"/>
      <c r="EHX38" s="41"/>
      <c r="EII38" s="41"/>
      <c r="EIT38" s="41"/>
      <c r="EJE38" s="41"/>
      <c r="EJP38" s="41"/>
      <c r="EKA38" s="41"/>
      <c r="EKL38" s="41"/>
      <c r="EKW38" s="41"/>
      <c r="ELH38" s="41"/>
      <c r="ELS38" s="41"/>
      <c r="EMD38" s="41"/>
      <c r="EMO38" s="41"/>
      <c r="EMZ38" s="41"/>
      <c r="ENK38" s="41"/>
      <c r="ENV38" s="41"/>
      <c r="EOG38" s="41"/>
      <c r="EOR38" s="41"/>
      <c r="EPC38" s="41"/>
      <c r="EPN38" s="41"/>
      <c r="EPY38" s="41"/>
      <c r="EQJ38" s="41"/>
      <c r="EQU38" s="41"/>
      <c r="ERF38" s="41"/>
      <c r="ERQ38" s="41"/>
      <c r="ESB38" s="41"/>
      <c r="ESM38" s="41"/>
      <c r="ESX38" s="41"/>
      <c r="ETI38" s="41"/>
      <c r="ETT38" s="41"/>
      <c r="EUE38" s="41"/>
      <c r="EUP38" s="41"/>
      <c r="EVA38" s="41"/>
      <c r="EVL38" s="41"/>
      <c r="EVW38" s="41"/>
      <c r="EWH38" s="41"/>
      <c r="EWS38" s="41"/>
      <c r="EXD38" s="41"/>
      <c r="EXO38" s="41"/>
      <c r="EXZ38" s="41"/>
      <c r="EYK38" s="41"/>
      <c r="EYV38" s="41"/>
      <c r="EZG38" s="41"/>
      <c r="EZR38" s="41"/>
      <c r="FAC38" s="41"/>
      <c r="FAN38" s="41"/>
      <c r="FAY38" s="41"/>
      <c r="FBJ38" s="41"/>
      <c r="FBU38" s="41"/>
      <c r="FCF38" s="41"/>
      <c r="FCQ38" s="41"/>
      <c r="FDB38" s="41"/>
      <c r="FDM38" s="41"/>
      <c r="FDX38" s="41"/>
      <c r="FEI38" s="41"/>
      <c r="FET38" s="41"/>
      <c r="FFE38" s="41"/>
      <c r="FFP38" s="41"/>
      <c r="FGA38" s="41"/>
      <c r="FGL38" s="41"/>
      <c r="FGW38" s="41"/>
      <c r="FHH38" s="41"/>
      <c r="FHS38" s="41"/>
      <c r="FID38" s="41"/>
      <c r="FIO38" s="41"/>
      <c r="FIZ38" s="41"/>
      <c r="FJK38" s="41"/>
      <c r="FJV38" s="41"/>
      <c r="FKG38" s="41"/>
      <c r="FKR38" s="41"/>
      <c r="FLC38" s="41"/>
      <c r="FLN38" s="41"/>
      <c r="FLY38" s="41"/>
      <c r="FMJ38" s="41"/>
      <c r="FMU38" s="41"/>
      <c r="FNF38" s="41"/>
      <c r="FNQ38" s="41"/>
      <c r="FOB38" s="41"/>
      <c r="FOM38" s="41"/>
      <c r="FOX38" s="41"/>
      <c r="FPI38" s="41"/>
      <c r="FPT38" s="41"/>
      <c r="FQE38" s="41"/>
      <c r="FQP38" s="41"/>
      <c r="FRA38" s="41"/>
      <c r="FRL38" s="41"/>
      <c r="FRW38" s="41"/>
      <c r="FSH38" s="41"/>
      <c r="FSS38" s="41"/>
      <c r="FTD38" s="41"/>
      <c r="FTO38" s="41"/>
      <c r="FTZ38" s="41"/>
      <c r="FUK38" s="41"/>
      <c r="FUV38" s="41"/>
      <c r="FVG38" s="41"/>
      <c r="FVR38" s="41"/>
      <c r="FWC38" s="41"/>
      <c r="FWN38" s="41"/>
      <c r="FWY38" s="41"/>
      <c r="FXJ38" s="41"/>
      <c r="FXU38" s="41"/>
      <c r="FYF38" s="41"/>
      <c r="FYQ38" s="41"/>
      <c r="FZB38" s="41"/>
      <c r="FZM38" s="41"/>
      <c r="FZX38" s="41"/>
      <c r="GAI38" s="41"/>
      <c r="GAT38" s="41"/>
      <c r="GBE38" s="41"/>
      <c r="GBP38" s="41"/>
      <c r="GCA38" s="41"/>
      <c r="GCL38" s="41"/>
      <c r="GCW38" s="41"/>
      <c r="GDH38" s="41"/>
      <c r="GDS38" s="41"/>
      <c r="GED38" s="41"/>
      <c r="GEO38" s="41"/>
      <c r="GEZ38" s="41"/>
      <c r="GFK38" s="41"/>
      <c r="GFV38" s="41"/>
      <c r="GGG38" s="41"/>
      <c r="GGR38" s="41"/>
      <c r="GHC38" s="41"/>
      <c r="GHN38" s="41"/>
      <c r="GHY38" s="41"/>
      <c r="GIJ38" s="41"/>
      <c r="GIU38" s="41"/>
      <c r="GJF38" s="41"/>
      <c r="GJQ38" s="41"/>
      <c r="GKB38" s="41"/>
      <c r="GKM38" s="41"/>
      <c r="GKX38" s="41"/>
      <c r="GLI38" s="41"/>
      <c r="GLT38" s="41"/>
      <c r="GME38" s="41"/>
      <c r="GMP38" s="41"/>
      <c r="GNA38" s="41"/>
      <c r="GNL38" s="41"/>
      <c r="GNW38" s="41"/>
      <c r="GOH38" s="41"/>
      <c r="GOS38" s="41"/>
      <c r="GPD38" s="41"/>
      <c r="GPO38" s="41"/>
      <c r="GPZ38" s="41"/>
      <c r="GQK38" s="41"/>
      <c r="GQV38" s="41"/>
      <c r="GRG38" s="41"/>
      <c r="GRR38" s="41"/>
      <c r="GSC38" s="41"/>
      <c r="GSN38" s="41"/>
      <c r="GSY38" s="41"/>
      <c r="GTJ38" s="41"/>
      <c r="GTU38" s="41"/>
      <c r="GUF38" s="41"/>
      <c r="GUQ38" s="41"/>
      <c r="GVB38" s="41"/>
      <c r="GVM38" s="41"/>
      <c r="GVX38" s="41"/>
      <c r="GWI38" s="41"/>
      <c r="GWT38" s="41"/>
      <c r="GXE38" s="41"/>
      <c r="GXP38" s="41"/>
      <c r="GYA38" s="41"/>
      <c r="GYL38" s="41"/>
      <c r="GYW38" s="41"/>
      <c r="GZH38" s="41"/>
      <c r="GZS38" s="41"/>
      <c r="HAD38" s="41"/>
      <c r="HAO38" s="41"/>
      <c r="HAZ38" s="41"/>
      <c r="HBK38" s="41"/>
      <c r="HBV38" s="41"/>
      <c r="HCG38" s="41"/>
      <c r="HCR38" s="41"/>
      <c r="HDC38" s="41"/>
      <c r="HDN38" s="41"/>
      <c r="HDY38" s="41"/>
      <c r="HEJ38" s="41"/>
      <c r="HEU38" s="41"/>
      <c r="HFF38" s="41"/>
      <c r="HFQ38" s="41"/>
      <c r="HGB38" s="41"/>
      <c r="HGM38" s="41"/>
      <c r="HGX38" s="41"/>
      <c r="HHI38" s="41"/>
      <c r="HHT38" s="41"/>
      <c r="HIE38" s="41"/>
      <c r="HIP38" s="41"/>
      <c r="HJA38" s="41"/>
      <c r="HJL38" s="41"/>
      <c r="HJW38" s="41"/>
      <c r="HKH38" s="41"/>
      <c r="HKS38" s="41"/>
      <c r="HLD38" s="41"/>
      <c r="HLO38" s="41"/>
      <c r="HLZ38" s="41"/>
      <c r="HMK38" s="41"/>
      <c r="HMV38" s="41"/>
      <c r="HNG38" s="41"/>
      <c r="HNR38" s="41"/>
      <c r="HOC38" s="41"/>
      <c r="HON38" s="41"/>
      <c r="HOY38" s="41"/>
      <c r="HPJ38" s="41"/>
      <c r="HPU38" s="41"/>
      <c r="HQF38" s="41"/>
      <c r="HQQ38" s="41"/>
      <c r="HRB38" s="41"/>
      <c r="HRM38" s="41"/>
      <c r="HRX38" s="41"/>
      <c r="HSI38" s="41"/>
      <c r="HST38" s="41"/>
      <c r="HTE38" s="41"/>
      <c r="HTP38" s="41"/>
      <c r="HUA38" s="41"/>
      <c r="HUL38" s="41"/>
      <c r="HUW38" s="41"/>
      <c r="HVH38" s="41"/>
      <c r="HVS38" s="41"/>
      <c r="HWD38" s="41"/>
      <c r="HWO38" s="41"/>
      <c r="HWZ38" s="41"/>
      <c r="HXK38" s="41"/>
      <c r="HXV38" s="41"/>
      <c r="HYG38" s="41"/>
      <c r="HYR38" s="41"/>
      <c r="HZC38" s="41"/>
      <c r="HZN38" s="41"/>
      <c r="HZY38" s="41"/>
      <c r="IAJ38" s="41"/>
      <c r="IAU38" s="41"/>
      <c r="IBF38" s="41"/>
      <c r="IBQ38" s="41"/>
      <c r="ICB38" s="41"/>
      <c r="ICM38" s="41"/>
      <c r="ICX38" s="41"/>
      <c r="IDI38" s="41"/>
      <c r="IDT38" s="41"/>
      <c r="IEE38" s="41"/>
      <c r="IEP38" s="41"/>
      <c r="IFA38" s="41"/>
      <c r="IFL38" s="41"/>
      <c r="IFW38" s="41"/>
      <c r="IGH38" s="41"/>
      <c r="IGS38" s="41"/>
      <c r="IHD38" s="41"/>
      <c r="IHO38" s="41"/>
      <c r="IHZ38" s="41"/>
      <c r="IIK38" s="41"/>
      <c r="IIV38" s="41"/>
      <c r="IJG38" s="41"/>
      <c r="IJR38" s="41"/>
      <c r="IKC38" s="41"/>
      <c r="IKN38" s="41"/>
      <c r="IKY38" s="41"/>
      <c r="ILJ38" s="41"/>
      <c r="ILU38" s="41"/>
      <c r="IMF38" s="41"/>
      <c r="IMQ38" s="41"/>
      <c r="INB38" s="41"/>
      <c r="INM38" s="41"/>
      <c r="INX38" s="41"/>
      <c r="IOI38" s="41"/>
      <c r="IOT38" s="41"/>
      <c r="IPE38" s="41"/>
      <c r="IPP38" s="41"/>
      <c r="IQA38" s="41"/>
      <c r="IQL38" s="41"/>
      <c r="IQW38" s="41"/>
      <c r="IRH38" s="41"/>
      <c r="IRS38" s="41"/>
      <c r="ISD38" s="41"/>
      <c r="ISO38" s="41"/>
      <c r="ISZ38" s="41"/>
      <c r="ITK38" s="41"/>
      <c r="ITV38" s="41"/>
      <c r="IUG38" s="41"/>
      <c r="IUR38" s="41"/>
      <c r="IVC38" s="41"/>
      <c r="IVN38" s="41"/>
      <c r="IVY38" s="41"/>
      <c r="IWJ38" s="41"/>
      <c r="IWU38" s="41"/>
      <c r="IXF38" s="41"/>
      <c r="IXQ38" s="41"/>
      <c r="IYB38" s="41"/>
      <c r="IYM38" s="41"/>
      <c r="IYX38" s="41"/>
      <c r="IZI38" s="41"/>
      <c r="IZT38" s="41"/>
      <c r="JAE38" s="41"/>
      <c r="JAP38" s="41"/>
      <c r="JBA38" s="41"/>
      <c r="JBL38" s="41"/>
      <c r="JBW38" s="41"/>
      <c r="JCH38" s="41"/>
      <c r="JCS38" s="41"/>
      <c r="JDD38" s="41"/>
      <c r="JDO38" s="41"/>
      <c r="JDZ38" s="41"/>
      <c r="JEK38" s="41"/>
      <c r="JEV38" s="41"/>
      <c r="JFG38" s="41"/>
      <c r="JFR38" s="41"/>
      <c r="JGC38" s="41"/>
      <c r="JGN38" s="41"/>
      <c r="JGY38" s="41"/>
      <c r="JHJ38" s="41"/>
      <c r="JHU38" s="41"/>
      <c r="JIF38" s="41"/>
      <c r="JIQ38" s="41"/>
      <c r="JJB38" s="41"/>
      <c r="JJM38" s="41"/>
      <c r="JJX38" s="41"/>
      <c r="JKI38" s="41"/>
      <c r="JKT38" s="41"/>
      <c r="JLE38" s="41"/>
      <c r="JLP38" s="41"/>
      <c r="JMA38" s="41"/>
      <c r="JML38" s="41"/>
      <c r="JMW38" s="41"/>
      <c r="JNH38" s="41"/>
      <c r="JNS38" s="41"/>
      <c r="JOD38" s="41"/>
      <c r="JOO38" s="41"/>
      <c r="JOZ38" s="41"/>
      <c r="JPK38" s="41"/>
      <c r="JPV38" s="41"/>
      <c r="JQG38" s="41"/>
      <c r="JQR38" s="41"/>
      <c r="JRC38" s="41"/>
      <c r="JRN38" s="41"/>
      <c r="JRY38" s="41"/>
      <c r="JSJ38" s="41"/>
      <c r="JSU38" s="41"/>
      <c r="JTF38" s="41"/>
      <c r="JTQ38" s="41"/>
      <c r="JUB38" s="41"/>
      <c r="JUM38" s="41"/>
      <c r="JUX38" s="41"/>
      <c r="JVI38" s="41"/>
      <c r="JVT38" s="41"/>
      <c r="JWE38" s="41"/>
      <c r="JWP38" s="41"/>
      <c r="JXA38" s="41"/>
      <c r="JXL38" s="41"/>
      <c r="JXW38" s="41"/>
      <c r="JYH38" s="41"/>
      <c r="JYS38" s="41"/>
      <c r="JZD38" s="41"/>
      <c r="JZO38" s="41"/>
      <c r="JZZ38" s="41"/>
      <c r="KAK38" s="41"/>
      <c r="KAV38" s="41"/>
      <c r="KBG38" s="41"/>
      <c r="KBR38" s="41"/>
      <c r="KCC38" s="41"/>
      <c r="KCN38" s="41"/>
      <c r="KCY38" s="41"/>
      <c r="KDJ38" s="41"/>
      <c r="KDU38" s="41"/>
      <c r="KEF38" s="41"/>
      <c r="KEQ38" s="41"/>
      <c r="KFB38" s="41"/>
      <c r="KFM38" s="41"/>
      <c r="KFX38" s="41"/>
      <c r="KGI38" s="41"/>
      <c r="KGT38" s="41"/>
      <c r="KHE38" s="41"/>
      <c r="KHP38" s="41"/>
      <c r="KIA38" s="41"/>
      <c r="KIL38" s="41"/>
      <c r="KIW38" s="41"/>
      <c r="KJH38" s="41"/>
      <c r="KJS38" s="41"/>
      <c r="KKD38" s="41"/>
      <c r="KKO38" s="41"/>
      <c r="KKZ38" s="41"/>
      <c r="KLK38" s="41"/>
      <c r="KLV38" s="41"/>
      <c r="KMG38" s="41"/>
      <c r="KMR38" s="41"/>
      <c r="KNC38" s="41"/>
      <c r="KNN38" s="41"/>
      <c r="KNY38" s="41"/>
      <c r="KOJ38" s="41"/>
      <c r="KOU38" s="41"/>
      <c r="KPF38" s="41"/>
      <c r="KPQ38" s="41"/>
      <c r="KQB38" s="41"/>
      <c r="KQM38" s="41"/>
      <c r="KQX38" s="41"/>
      <c r="KRI38" s="41"/>
      <c r="KRT38" s="41"/>
      <c r="KSE38" s="41"/>
      <c r="KSP38" s="41"/>
      <c r="KTA38" s="41"/>
      <c r="KTL38" s="41"/>
      <c r="KTW38" s="41"/>
      <c r="KUH38" s="41"/>
      <c r="KUS38" s="41"/>
      <c r="KVD38" s="41"/>
      <c r="KVO38" s="41"/>
      <c r="KVZ38" s="41"/>
      <c r="KWK38" s="41"/>
      <c r="KWV38" s="41"/>
      <c r="KXG38" s="41"/>
      <c r="KXR38" s="41"/>
      <c r="KYC38" s="41"/>
      <c r="KYN38" s="41"/>
      <c r="KYY38" s="41"/>
      <c r="KZJ38" s="41"/>
      <c r="KZU38" s="41"/>
      <c r="LAF38" s="41"/>
      <c r="LAQ38" s="41"/>
      <c r="LBB38" s="41"/>
      <c r="LBM38" s="41"/>
      <c r="LBX38" s="41"/>
      <c r="LCI38" s="41"/>
      <c r="LCT38" s="41"/>
      <c r="LDE38" s="41"/>
      <c r="LDP38" s="41"/>
      <c r="LEA38" s="41"/>
      <c r="LEL38" s="41"/>
      <c r="LEW38" s="41"/>
      <c r="LFH38" s="41"/>
      <c r="LFS38" s="41"/>
      <c r="LGD38" s="41"/>
      <c r="LGO38" s="41"/>
      <c r="LGZ38" s="41"/>
      <c r="LHK38" s="41"/>
      <c r="LHV38" s="41"/>
      <c r="LIG38" s="41"/>
      <c r="LIR38" s="41"/>
      <c r="LJC38" s="41"/>
      <c r="LJN38" s="41"/>
      <c r="LJY38" s="41"/>
      <c r="LKJ38" s="41"/>
      <c r="LKU38" s="41"/>
      <c r="LLF38" s="41"/>
      <c r="LLQ38" s="41"/>
      <c r="LMB38" s="41"/>
      <c r="LMM38" s="41"/>
      <c r="LMX38" s="41"/>
      <c r="LNI38" s="41"/>
      <c r="LNT38" s="41"/>
      <c r="LOE38" s="41"/>
      <c r="LOP38" s="41"/>
      <c r="LPA38" s="41"/>
      <c r="LPL38" s="41"/>
      <c r="LPW38" s="41"/>
      <c r="LQH38" s="41"/>
      <c r="LQS38" s="41"/>
      <c r="LRD38" s="41"/>
      <c r="LRO38" s="41"/>
      <c r="LRZ38" s="41"/>
      <c r="LSK38" s="41"/>
      <c r="LSV38" s="41"/>
      <c r="LTG38" s="41"/>
      <c r="LTR38" s="41"/>
      <c r="LUC38" s="41"/>
      <c r="LUN38" s="41"/>
      <c r="LUY38" s="41"/>
      <c r="LVJ38" s="41"/>
      <c r="LVU38" s="41"/>
      <c r="LWF38" s="41"/>
      <c r="LWQ38" s="41"/>
      <c r="LXB38" s="41"/>
      <c r="LXM38" s="41"/>
      <c r="LXX38" s="41"/>
      <c r="LYI38" s="41"/>
      <c r="LYT38" s="41"/>
      <c r="LZE38" s="41"/>
      <c r="LZP38" s="41"/>
      <c r="MAA38" s="41"/>
      <c r="MAL38" s="41"/>
      <c r="MAW38" s="41"/>
      <c r="MBH38" s="41"/>
      <c r="MBS38" s="41"/>
      <c r="MCD38" s="41"/>
      <c r="MCO38" s="41"/>
      <c r="MCZ38" s="41"/>
      <c r="MDK38" s="41"/>
      <c r="MDV38" s="41"/>
      <c r="MEG38" s="41"/>
      <c r="MER38" s="41"/>
      <c r="MFC38" s="41"/>
      <c r="MFN38" s="41"/>
      <c r="MFY38" s="41"/>
      <c r="MGJ38" s="41"/>
      <c r="MGU38" s="41"/>
      <c r="MHF38" s="41"/>
      <c r="MHQ38" s="41"/>
      <c r="MIB38" s="41"/>
      <c r="MIM38" s="41"/>
      <c r="MIX38" s="41"/>
      <c r="MJI38" s="41"/>
      <c r="MJT38" s="41"/>
      <c r="MKE38" s="41"/>
      <c r="MKP38" s="41"/>
      <c r="MLA38" s="41"/>
      <c r="MLL38" s="41"/>
      <c r="MLW38" s="41"/>
      <c r="MMH38" s="41"/>
      <c r="MMS38" s="41"/>
      <c r="MND38" s="41"/>
      <c r="MNO38" s="41"/>
      <c r="MNZ38" s="41"/>
      <c r="MOK38" s="41"/>
      <c r="MOV38" s="41"/>
      <c r="MPG38" s="41"/>
      <c r="MPR38" s="41"/>
      <c r="MQC38" s="41"/>
      <c r="MQN38" s="41"/>
      <c r="MQY38" s="41"/>
      <c r="MRJ38" s="41"/>
      <c r="MRU38" s="41"/>
      <c r="MSF38" s="41"/>
      <c r="MSQ38" s="41"/>
      <c r="MTB38" s="41"/>
      <c r="MTM38" s="41"/>
      <c r="MTX38" s="41"/>
      <c r="MUI38" s="41"/>
      <c r="MUT38" s="41"/>
      <c r="MVE38" s="41"/>
      <c r="MVP38" s="41"/>
      <c r="MWA38" s="41"/>
      <c r="MWL38" s="41"/>
      <c r="MWW38" s="41"/>
      <c r="MXH38" s="41"/>
      <c r="MXS38" s="41"/>
      <c r="MYD38" s="41"/>
      <c r="MYO38" s="41"/>
      <c r="MYZ38" s="41"/>
      <c r="MZK38" s="41"/>
      <c r="MZV38" s="41"/>
      <c r="NAG38" s="41"/>
      <c r="NAR38" s="41"/>
      <c r="NBC38" s="41"/>
      <c r="NBN38" s="41"/>
      <c r="NBY38" s="41"/>
      <c r="NCJ38" s="41"/>
      <c r="NCU38" s="41"/>
      <c r="NDF38" s="41"/>
      <c r="NDQ38" s="41"/>
      <c r="NEB38" s="41"/>
      <c r="NEM38" s="41"/>
      <c r="NEX38" s="41"/>
      <c r="NFI38" s="41"/>
      <c r="NFT38" s="41"/>
      <c r="NGE38" s="41"/>
      <c r="NGP38" s="41"/>
      <c r="NHA38" s="41"/>
      <c r="NHL38" s="41"/>
      <c r="NHW38" s="41"/>
      <c r="NIH38" s="41"/>
      <c r="NIS38" s="41"/>
      <c r="NJD38" s="41"/>
      <c r="NJO38" s="41"/>
      <c r="NJZ38" s="41"/>
      <c r="NKK38" s="41"/>
      <c r="NKV38" s="41"/>
      <c r="NLG38" s="41"/>
      <c r="NLR38" s="41"/>
      <c r="NMC38" s="41"/>
      <c r="NMN38" s="41"/>
      <c r="NMY38" s="41"/>
      <c r="NNJ38" s="41"/>
      <c r="NNU38" s="41"/>
      <c r="NOF38" s="41"/>
      <c r="NOQ38" s="41"/>
      <c r="NPB38" s="41"/>
      <c r="NPM38" s="41"/>
      <c r="NPX38" s="41"/>
      <c r="NQI38" s="41"/>
      <c r="NQT38" s="41"/>
      <c r="NRE38" s="41"/>
      <c r="NRP38" s="41"/>
      <c r="NSA38" s="41"/>
      <c r="NSL38" s="41"/>
      <c r="NSW38" s="41"/>
      <c r="NTH38" s="41"/>
      <c r="NTS38" s="41"/>
      <c r="NUD38" s="41"/>
      <c r="NUO38" s="41"/>
      <c r="NUZ38" s="41"/>
      <c r="NVK38" s="41"/>
      <c r="NVV38" s="41"/>
      <c r="NWG38" s="41"/>
      <c r="NWR38" s="41"/>
      <c r="NXC38" s="41"/>
      <c r="NXN38" s="41"/>
      <c r="NXY38" s="41"/>
      <c r="NYJ38" s="41"/>
      <c r="NYU38" s="41"/>
      <c r="NZF38" s="41"/>
      <c r="NZQ38" s="41"/>
      <c r="OAB38" s="41"/>
      <c r="OAM38" s="41"/>
      <c r="OAX38" s="41"/>
      <c r="OBI38" s="41"/>
      <c r="OBT38" s="41"/>
      <c r="OCE38" s="41"/>
      <c r="OCP38" s="41"/>
      <c r="ODA38" s="41"/>
      <c r="ODL38" s="41"/>
      <c r="ODW38" s="41"/>
      <c r="OEH38" s="41"/>
      <c r="OES38" s="41"/>
      <c r="OFD38" s="41"/>
      <c r="OFO38" s="41"/>
      <c r="OFZ38" s="41"/>
      <c r="OGK38" s="41"/>
      <c r="OGV38" s="41"/>
      <c r="OHG38" s="41"/>
      <c r="OHR38" s="41"/>
      <c r="OIC38" s="41"/>
      <c r="OIN38" s="41"/>
      <c r="OIY38" s="41"/>
      <c r="OJJ38" s="41"/>
      <c r="OJU38" s="41"/>
      <c r="OKF38" s="41"/>
      <c r="OKQ38" s="41"/>
      <c r="OLB38" s="41"/>
      <c r="OLM38" s="41"/>
      <c r="OLX38" s="41"/>
      <c r="OMI38" s="41"/>
      <c r="OMT38" s="41"/>
      <c r="ONE38" s="41"/>
      <c r="ONP38" s="41"/>
      <c r="OOA38" s="41"/>
      <c r="OOL38" s="41"/>
      <c r="OOW38" s="41"/>
      <c r="OPH38" s="41"/>
      <c r="OPS38" s="41"/>
      <c r="OQD38" s="41"/>
      <c r="OQO38" s="41"/>
      <c r="OQZ38" s="41"/>
      <c r="ORK38" s="41"/>
      <c r="ORV38" s="41"/>
      <c r="OSG38" s="41"/>
      <c r="OSR38" s="41"/>
      <c r="OTC38" s="41"/>
      <c r="OTN38" s="41"/>
      <c r="OTY38" s="41"/>
      <c r="OUJ38" s="41"/>
      <c r="OUU38" s="41"/>
      <c r="OVF38" s="41"/>
      <c r="OVQ38" s="41"/>
      <c r="OWB38" s="41"/>
      <c r="OWM38" s="41"/>
      <c r="OWX38" s="41"/>
      <c r="OXI38" s="41"/>
      <c r="OXT38" s="41"/>
      <c r="OYE38" s="41"/>
      <c r="OYP38" s="41"/>
      <c r="OZA38" s="41"/>
      <c r="OZL38" s="41"/>
      <c r="OZW38" s="41"/>
      <c r="PAH38" s="41"/>
      <c r="PAS38" s="41"/>
      <c r="PBD38" s="41"/>
      <c r="PBO38" s="41"/>
      <c r="PBZ38" s="41"/>
      <c r="PCK38" s="41"/>
      <c r="PCV38" s="41"/>
      <c r="PDG38" s="41"/>
      <c r="PDR38" s="41"/>
      <c r="PEC38" s="41"/>
      <c r="PEN38" s="41"/>
      <c r="PEY38" s="41"/>
      <c r="PFJ38" s="41"/>
      <c r="PFU38" s="41"/>
      <c r="PGF38" s="41"/>
      <c r="PGQ38" s="41"/>
      <c r="PHB38" s="41"/>
      <c r="PHM38" s="41"/>
      <c r="PHX38" s="41"/>
      <c r="PII38" s="41"/>
      <c r="PIT38" s="41"/>
      <c r="PJE38" s="41"/>
      <c r="PJP38" s="41"/>
      <c r="PKA38" s="41"/>
      <c r="PKL38" s="41"/>
      <c r="PKW38" s="41"/>
      <c r="PLH38" s="41"/>
      <c r="PLS38" s="41"/>
      <c r="PMD38" s="41"/>
      <c r="PMO38" s="41"/>
      <c r="PMZ38" s="41"/>
      <c r="PNK38" s="41"/>
      <c r="PNV38" s="41"/>
      <c r="POG38" s="41"/>
      <c r="POR38" s="41"/>
      <c r="PPC38" s="41"/>
      <c r="PPN38" s="41"/>
      <c r="PPY38" s="41"/>
      <c r="PQJ38" s="41"/>
      <c r="PQU38" s="41"/>
      <c r="PRF38" s="41"/>
      <c r="PRQ38" s="41"/>
      <c r="PSB38" s="41"/>
      <c r="PSM38" s="41"/>
      <c r="PSX38" s="41"/>
      <c r="PTI38" s="41"/>
      <c r="PTT38" s="41"/>
      <c r="PUE38" s="41"/>
      <c r="PUP38" s="41"/>
      <c r="PVA38" s="41"/>
      <c r="PVL38" s="41"/>
      <c r="PVW38" s="41"/>
      <c r="PWH38" s="41"/>
      <c r="PWS38" s="41"/>
      <c r="PXD38" s="41"/>
      <c r="PXO38" s="41"/>
      <c r="PXZ38" s="41"/>
      <c r="PYK38" s="41"/>
      <c r="PYV38" s="41"/>
      <c r="PZG38" s="41"/>
      <c r="PZR38" s="41"/>
      <c r="QAC38" s="41"/>
      <c r="QAN38" s="41"/>
      <c r="QAY38" s="41"/>
      <c r="QBJ38" s="41"/>
      <c r="QBU38" s="41"/>
      <c r="QCF38" s="41"/>
      <c r="QCQ38" s="41"/>
      <c r="QDB38" s="41"/>
      <c r="QDM38" s="41"/>
      <c r="QDX38" s="41"/>
      <c r="QEI38" s="41"/>
      <c r="QET38" s="41"/>
      <c r="QFE38" s="41"/>
      <c r="QFP38" s="41"/>
      <c r="QGA38" s="41"/>
      <c r="QGL38" s="41"/>
      <c r="QGW38" s="41"/>
      <c r="QHH38" s="41"/>
      <c r="QHS38" s="41"/>
      <c r="QID38" s="41"/>
      <c r="QIO38" s="41"/>
      <c r="QIZ38" s="41"/>
      <c r="QJK38" s="41"/>
      <c r="QJV38" s="41"/>
      <c r="QKG38" s="41"/>
      <c r="QKR38" s="41"/>
      <c r="QLC38" s="41"/>
      <c r="QLN38" s="41"/>
      <c r="QLY38" s="41"/>
      <c r="QMJ38" s="41"/>
      <c r="QMU38" s="41"/>
      <c r="QNF38" s="41"/>
      <c r="QNQ38" s="41"/>
      <c r="QOB38" s="41"/>
      <c r="QOM38" s="41"/>
      <c r="QOX38" s="41"/>
      <c r="QPI38" s="41"/>
      <c r="QPT38" s="41"/>
      <c r="QQE38" s="41"/>
      <c r="QQP38" s="41"/>
      <c r="QRA38" s="41"/>
      <c r="QRL38" s="41"/>
      <c r="QRW38" s="41"/>
      <c r="QSH38" s="41"/>
      <c r="QSS38" s="41"/>
      <c r="QTD38" s="41"/>
      <c r="QTO38" s="41"/>
      <c r="QTZ38" s="41"/>
      <c r="QUK38" s="41"/>
      <c r="QUV38" s="41"/>
      <c r="QVG38" s="41"/>
      <c r="QVR38" s="41"/>
      <c r="QWC38" s="41"/>
      <c r="QWN38" s="41"/>
      <c r="QWY38" s="41"/>
      <c r="QXJ38" s="41"/>
      <c r="QXU38" s="41"/>
      <c r="QYF38" s="41"/>
      <c r="QYQ38" s="41"/>
      <c r="QZB38" s="41"/>
      <c r="QZM38" s="41"/>
      <c r="QZX38" s="41"/>
      <c r="RAI38" s="41"/>
      <c r="RAT38" s="41"/>
      <c r="RBE38" s="41"/>
      <c r="RBP38" s="41"/>
      <c r="RCA38" s="41"/>
      <c r="RCL38" s="41"/>
      <c r="RCW38" s="41"/>
      <c r="RDH38" s="41"/>
      <c r="RDS38" s="41"/>
      <c r="RED38" s="41"/>
      <c r="REO38" s="41"/>
      <c r="REZ38" s="41"/>
      <c r="RFK38" s="41"/>
      <c r="RFV38" s="41"/>
      <c r="RGG38" s="41"/>
      <c r="RGR38" s="41"/>
      <c r="RHC38" s="41"/>
      <c r="RHN38" s="41"/>
      <c r="RHY38" s="41"/>
      <c r="RIJ38" s="41"/>
      <c r="RIU38" s="41"/>
      <c r="RJF38" s="41"/>
      <c r="RJQ38" s="41"/>
      <c r="RKB38" s="41"/>
      <c r="RKM38" s="41"/>
      <c r="RKX38" s="41"/>
      <c r="RLI38" s="41"/>
      <c r="RLT38" s="41"/>
      <c r="RME38" s="41"/>
      <c r="RMP38" s="41"/>
      <c r="RNA38" s="41"/>
      <c r="RNL38" s="41"/>
      <c r="RNW38" s="41"/>
      <c r="ROH38" s="41"/>
      <c r="ROS38" s="41"/>
      <c r="RPD38" s="41"/>
      <c r="RPO38" s="41"/>
      <c r="RPZ38" s="41"/>
      <c r="RQK38" s="41"/>
      <c r="RQV38" s="41"/>
      <c r="RRG38" s="41"/>
      <c r="RRR38" s="41"/>
      <c r="RSC38" s="41"/>
      <c r="RSN38" s="41"/>
      <c r="RSY38" s="41"/>
      <c r="RTJ38" s="41"/>
      <c r="RTU38" s="41"/>
      <c r="RUF38" s="41"/>
      <c r="RUQ38" s="41"/>
      <c r="RVB38" s="41"/>
      <c r="RVM38" s="41"/>
      <c r="RVX38" s="41"/>
      <c r="RWI38" s="41"/>
      <c r="RWT38" s="41"/>
      <c r="RXE38" s="41"/>
      <c r="RXP38" s="41"/>
      <c r="RYA38" s="41"/>
      <c r="RYL38" s="41"/>
      <c r="RYW38" s="41"/>
      <c r="RZH38" s="41"/>
      <c r="RZS38" s="41"/>
      <c r="SAD38" s="41"/>
      <c r="SAO38" s="41"/>
      <c r="SAZ38" s="41"/>
      <c r="SBK38" s="41"/>
      <c r="SBV38" s="41"/>
      <c r="SCG38" s="41"/>
      <c r="SCR38" s="41"/>
      <c r="SDC38" s="41"/>
      <c r="SDN38" s="41"/>
      <c r="SDY38" s="41"/>
      <c r="SEJ38" s="41"/>
      <c r="SEU38" s="41"/>
      <c r="SFF38" s="41"/>
      <c r="SFQ38" s="41"/>
      <c r="SGB38" s="41"/>
      <c r="SGM38" s="41"/>
      <c r="SGX38" s="41"/>
      <c r="SHI38" s="41"/>
      <c r="SHT38" s="41"/>
      <c r="SIE38" s="41"/>
      <c r="SIP38" s="41"/>
      <c r="SJA38" s="41"/>
      <c r="SJL38" s="41"/>
      <c r="SJW38" s="41"/>
      <c r="SKH38" s="41"/>
      <c r="SKS38" s="41"/>
      <c r="SLD38" s="41"/>
      <c r="SLO38" s="41"/>
      <c r="SLZ38" s="41"/>
      <c r="SMK38" s="41"/>
      <c r="SMV38" s="41"/>
      <c r="SNG38" s="41"/>
      <c r="SNR38" s="41"/>
      <c r="SOC38" s="41"/>
      <c r="SON38" s="41"/>
      <c r="SOY38" s="41"/>
      <c r="SPJ38" s="41"/>
      <c r="SPU38" s="41"/>
      <c r="SQF38" s="41"/>
      <c r="SQQ38" s="41"/>
      <c r="SRB38" s="41"/>
      <c r="SRM38" s="41"/>
      <c r="SRX38" s="41"/>
      <c r="SSI38" s="41"/>
      <c r="SST38" s="41"/>
      <c r="STE38" s="41"/>
      <c r="STP38" s="41"/>
      <c r="SUA38" s="41"/>
      <c r="SUL38" s="41"/>
      <c r="SUW38" s="41"/>
      <c r="SVH38" s="41"/>
      <c r="SVS38" s="41"/>
      <c r="SWD38" s="41"/>
      <c r="SWO38" s="41"/>
      <c r="SWZ38" s="41"/>
      <c r="SXK38" s="41"/>
      <c r="SXV38" s="41"/>
      <c r="SYG38" s="41"/>
      <c r="SYR38" s="41"/>
      <c r="SZC38" s="41"/>
      <c r="SZN38" s="41"/>
      <c r="SZY38" s="41"/>
      <c r="TAJ38" s="41"/>
      <c r="TAU38" s="41"/>
      <c r="TBF38" s="41"/>
      <c r="TBQ38" s="41"/>
      <c r="TCB38" s="41"/>
      <c r="TCM38" s="41"/>
      <c r="TCX38" s="41"/>
      <c r="TDI38" s="41"/>
      <c r="TDT38" s="41"/>
      <c r="TEE38" s="41"/>
      <c r="TEP38" s="41"/>
      <c r="TFA38" s="41"/>
      <c r="TFL38" s="41"/>
      <c r="TFW38" s="41"/>
      <c r="TGH38" s="41"/>
      <c r="TGS38" s="41"/>
      <c r="THD38" s="41"/>
      <c r="THO38" s="41"/>
      <c r="THZ38" s="41"/>
      <c r="TIK38" s="41"/>
      <c r="TIV38" s="41"/>
      <c r="TJG38" s="41"/>
      <c r="TJR38" s="41"/>
      <c r="TKC38" s="41"/>
      <c r="TKN38" s="41"/>
      <c r="TKY38" s="41"/>
      <c r="TLJ38" s="41"/>
      <c r="TLU38" s="41"/>
      <c r="TMF38" s="41"/>
      <c r="TMQ38" s="41"/>
      <c r="TNB38" s="41"/>
      <c r="TNM38" s="41"/>
      <c r="TNX38" s="41"/>
      <c r="TOI38" s="41"/>
      <c r="TOT38" s="41"/>
      <c r="TPE38" s="41"/>
      <c r="TPP38" s="41"/>
      <c r="TQA38" s="41"/>
      <c r="TQL38" s="41"/>
      <c r="TQW38" s="41"/>
      <c r="TRH38" s="41"/>
      <c r="TRS38" s="41"/>
      <c r="TSD38" s="41"/>
      <c r="TSO38" s="41"/>
      <c r="TSZ38" s="41"/>
      <c r="TTK38" s="41"/>
      <c r="TTV38" s="41"/>
      <c r="TUG38" s="41"/>
      <c r="TUR38" s="41"/>
      <c r="TVC38" s="41"/>
      <c r="TVN38" s="41"/>
      <c r="TVY38" s="41"/>
      <c r="TWJ38" s="41"/>
      <c r="TWU38" s="41"/>
      <c r="TXF38" s="41"/>
      <c r="TXQ38" s="41"/>
      <c r="TYB38" s="41"/>
      <c r="TYM38" s="41"/>
      <c r="TYX38" s="41"/>
      <c r="TZI38" s="41"/>
      <c r="TZT38" s="41"/>
      <c r="UAE38" s="41"/>
      <c r="UAP38" s="41"/>
      <c r="UBA38" s="41"/>
      <c r="UBL38" s="41"/>
      <c r="UBW38" s="41"/>
      <c r="UCH38" s="41"/>
      <c r="UCS38" s="41"/>
      <c r="UDD38" s="41"/>
      <c r="UDO38" s="41"/>
      <c r="UDZ38" s="41"/>
      <c r="UEK38" s="41"/>
      <c r="UEV38" s="41"/>
      <c r="UFG38" s="41"/>
      <c r="UFR38" s="41"/>
      <c r="UGC38" s="41"/>
      <c r="UGN38" s="41"/>
      <c r="UGY38" s="41"/>
      <c r="UHJ38" s="41"/>
      <c r="UHU38" s="41"/>
      <c r="UIF38" s="41"/>
      <c r="UIQ38" s="41"/>
      <c r="UJB38" s="41"/>
      <c r="UJM38" s="41"/>
      <c r="UJX38" s="41"/>
      <c r="UKI38" s="41"/>
      <c r="UKT38" s="41"/>
      <c r="ULE38" s="41"/>
      <c r="ULP38" s="41"/>
      <c r="UMA38" s="41"/>
      <c r="UML38" s="41"/>
      <c r="UMW38" s="41"/>
      <c r="UNH38" s="41"/>
      <c r="UNS38" s="41"/>
      <c r="UOD38" s="41"/>
      <c r="UOO38" s="41"/>
      <c r="UOZ38" s="41"/>
      <c r="UPK38" s="41"/>
      <c r="UPV38" s="41"/>
      <c r="UQG38" s="41"/>
      <c r="UQR38" s="41"/>
      <c r="URC38" s="41"/>
      <c r="URN38" s="41"/>
      <c r="URY38" s="41"/>
      <c r="USJ38" s="41"/>
      <c r="USU38" s="41"/>
      <c r="UTF38" s="41"/>
      <c r="UTQ38" s="41"/>
      <c r="UUB38" s="41"/>
      <c r="UUM38" s="41"/>
      <c r="UUX38" s="41"/>
      <c r="UVI38" s="41"/>
      <c r="UVT38" s="41"/>
      <c r="UWE38" s="41"/>
      <c r="UWP38" s="41"/>
      <c r="UXA38" s="41"/>
      <c r="UXL38" s="41"/>
      <c r="UXW38" s="41"/>
      <c r="UYH38" s="41"/>
      <c r="UYS38" s="41"/>
      <c r="UZD38" s="41"/>
      <c r="UZO38" s="41"/>
      <c r="UZZ38" s="41"/>
      <c r="VAK38" s="41"/>
      <c r="VAV38" s="41"/>
      <c r="VBG38" s="41"/>
      <c r="VBR38" s="41"/>
      <c r="VCC38" s="41"/>
      <c r="VCN38" s="41"/>
      <c r="VCY38" s="41"/>
      <c r="VDJ38" s="41"/>
      <c r="VDU38" s="41"/>
      <c r="VEF38" s="41"/>
      <c r="VEQ38" s="41"/>
      <c r="VFB38" s="41"/>
      <c r="VFM38" s="41"/>
      <c r="VFX38" s="41"/>
      <c r="VGI38" s="41"/>
      <c r="VGT38" s="41"/>
      <c r="VHE38" s="41"/>
      <c r="VHP38" s="41"/>
      <c r="VIA38" s="41"/>
      <c r="VIL38" s="41"/>
      <c r="VIW38" s="41"/>
      <c r="VJH38" s="41"/>
      <c r="VJS38" s="41"/>
      <c r="VKD38" s="41"/>
      <c r="VKO38" s="41"/>
      <c r="VKZ38" s="41"/>
      <c r="VLK38" s="41"/>
      <c r="VLV38" s="41"/>
      <c r="VMG38" s="41"/>
      <c r="VMR38" s="41"/>
      <c r="VNC38" s="41"/>
      <c r="VNN38" s="41"/>
      <c r="VNY38" s="41"/>
      <c r="VOJ38" s="41"/>
      <c r="VOU38" s="41"/>
      <c r="VPF38" s="41"/>
      <c r="VPQ38" s="41"/>
      <c r="VQB38" s="41"/>
      <c r="VQM38" s="41"/>
      <c r="VQX38" s="41"/>
      <c r="VRI38" s="41"/>
      <c r="VRT38" s="41"/>
      <c r="VSE38" s="41"/>
      <c r="VSP38" s="41"/>
      <c r="VTA38" s="41"/>
      <c r="VTL38" s="41"/>
      <c r="VTW38" s="41"/>
      <c r="VUH38" s="41"/>
      <c r="VUS38" s="41"/>
      <c r="VVD38" s="41"/>
      <c r="VVO38" s="41"/>
      <c r="VVZ38" s="41"/>
      <c r="VWK38" s="41"/>
      <c r="VWV38" s="41"/>
      <c r="VXG38" s="41"/>
      <c r="VXR38" s="41"/>
      <c r="VYC38" s="41"/>
      <c r="VYN38" s="41"/>
      <c r="VYY38" s="41"/>
      <c r="VZJ38" s="41"/>
      <c r="VZU38" s="41"/>
      <c r="WAF38" s="41"/>
      <c r="WAQ38" s="41"/>
      <c r="WBB38" s="41"/>
      <c r="WBM38" s="41"/>
      <c r="WBX38" s="41"/>
      <c r="WCI38" s="41"/>
      <c r="WCT38" s="41"/>
      <c r="WDE38" s="41"/>
      <c r="WDP38" s="41"/>
      <c r="WEA38" s="41"/>
      <c r="WEL38" s="41"/>
      <c r="WEW38" s="41"/>
      <c r="WFH38" s="41"/>
      <c r="WFS38" s="41"/>
      <c r="WGD38" s="41"/>
      <c r="WGO38" s="41"/>
      <c r="WGZ38" s="41"/>
      <c r="WHK38" s="41"/>
      <c r="WHV38" s="41"/>
      <c r="WIG38" s="41"/>
      <c r="WIR38" s="41"/>
      <c r="WJC38" s="41"/>
      <c r="WJN38" s="41"/>
      <c r="WJY38" s="41"/>
      <c r="WKJ38" s="41"/>
      <c r="WKU38" s="41"/>
      <c r="WLF38" s="41"/>
      <c r="WLQ38" s="41"/>
      <c r="WMB38" s="41"/>
      <c r="WMM38" s="41"/>
      <c r="WMX38" s="41"/>
      <c r="WNI38" s="41"/>
      <c r="WNT38" s="41"/>
      <c r="WOE38" s="41"/>
      <c r="WOP38" s="41"/>
      <c r="WPA38" s="41"/>
      <c r="WPL38" s="41"/>
      <c r="WPW38" s="41"/>
      <c r="WQH38" s="41"/>
      <c r="WQS38" s="41"/>
      <c r="WRD38" s="41"/>
      <c r="WRO38" s="41"/>
      <c r="WRZ38" s="41"/>
      <c r="WSK38" s="41"/>
      <c r="WSV38" s="41"/>
      <c r="WTG38" s="41"/>
      <c r="WTR38" s="41"/>
      <c r="WUC38" s="41"/>
      <c r="WUN38" s="41"/>
      <c r="WUY38" s="41"/>
      <c r="WVJ38" s="41"/>
      <c r="WVU38" s="41"/>
      <c r="WWF38" s="41"/>
      <c r="WWQ38" s="41"/>
      <c r="WXB38" s="41"/>
      <c r="WXM38" s="41"/>
      <c r="WXX38" s="41"/>
      <c r="WYI38" s="41"/>
      <c r="WYT38" s="41"/>
      <c r="WZE38" s="41"/>
      <c r="WZP38" s="41"/>
      <c r="XAA38" s="41"/>
      <c r="XAL38" s="41"/>
      <c r="XAW38" s="41"/>
      <c r="XBH38" s="41"/>
      <c r="XBS38" s="41"/>
      <c r="XCD38" s="41"/>
      <c r="XCO38" s="41"/>
      <c r="XCZ38" s="41"/>
      <c r="XDK38" s="41"/>
      <c r="XDV38" s="41"/>
      <c r="XEG38" s="41"/>
      <c r="XER38" s="41"/>
      <c r="XFC38" s="41"/>
    </row>
    <row r="39" spans="4:1016 1027:2039 2050:3062 3073:4096 4107:5119 5130:6142 6153:7165 7176:8188 8199:9211 9222:10234 10245:11257 11268:12280 12291:13303 13314:14326 14337:15360 15371:16383" ht="15.75" customHeight="1">
      <c r="G39" s="177" t="s">
        <v>328</v>
      </c>
      <c r="H39" s="177" t="s">
        <v>329</v>
      </c>
      <c r="I39" s="177" t="s">
        <v>330</v>
      </c>
      <c r="J39" s="177" t="s">
        <v>328</v>
      </c>
      <c r="K39" s="177" t="s">
        <v>329</v>
      </c>
      <c r="L39" s="177" t="s">
        <v>330</v>
      </c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</row>
    <row r="40" spans="4:1016 1027:2039 2050:3062 3073:4096 4107:5119 5130:6142 6153:7165 7176:8188 8199:9211 9222:10234 10245:11257 11268:12280 12291:13303 13314:14326 14337:15360 15371:16383" ht="19.8" customHeight="1">
      <c r="G40" s="181">
        <f>IF($G$35="Use assumed average urban residential profile",31%,"")</f>
        <v>0.31</v>
      </c>
      <c r="H40" s="170">
        <f>IF($G$35="Use assumed average urban residential profile",49%,"")</f>
        <v>0.49</v>
      </c>
      <c r="I40" s="170">
        <f>IF($G$35="Use assumed average urban residential profile",20%,"")</f>
        <v>0.2</v>
      </c>
      <c r="J40" s="181">
        <f>IF($G$35="Use assumed average urban residential profile",30%,"")</f>
        <v>0.3</v>
      </c>
      <c r="K40" s="181">
        <f>IF($G$35="Use assumed average urban residential profile",49%,"")</f>
        <v>0.49</v>
      </c>
      <c r="L40" s="181">
        <f>IF($G$35="Use assumed average urban residential profile",21%,"")</f>
        <v>0.21</v>
      </c>
      <c r="M40" s="185">
        <f>(SUM(G40:I40)+SUM(J40:L40))/2</f>
        <v>1</v>
      </c>
      <c r="N40" s="182"/>
      <c r="O40" s="182"/>
      <c r="P40" s="42" t="s">
        <v>415</v>
      </c>
      <c r="Q40" s="42"/>
      <c r="R40" s="42"/>
      <c r="S40" s="166"/>
      <c r="T40" s="166"/>
      <c r="U40" s="166"/>
      <c r="V40" s="166"/>
      <c r="W40" s="166"/>
      <c r="X40" s="166"/>
      <c r="Y40" s="166"/>
      <c r="Z40" s="166"/>
    </row>
    <row r="41" spans="4:1016 1027:2039 2050:3062 3073:4096 4107:5119 5130:6142 6153:7165 7176:8188 8199:9211 9222:10234 10245:11257 11268:12280 12291:13303 13314:14326 14337:15360 15371:16383" ht="19.8" customHeight="1">
      <c r="G41" s="168"/>
      <c r="H41" s="168"/>
      <c r="I41" s="168"/>
      <c r="J41" s="31"/>
      <c r="K41" s="31"/>
      <c r="L41" s="31"/>
      <c r="M41" s="31"/>
      <c r="N41" s="31"/>
      <c r="O41" s="31"/>
      <c r="P41" s="167"/>
      <c r="Q41" s="167"/>
      <c r="R41" s="167"/>
      <c r="S41" s="166"/>
      <c r="T41" s="166"/>
      <c r="U41" s="166"/>
      <c r="V41" s="166"/>
      <c r="W41" s="166"/>
      <c r="X41" s="166"/>
      <c r="Y41" s="166"/>
      <c r="Z41" s="166"/>
    </row>
    <row r="42" spans="4:1016 1027:2039 2050:3062 3073:4096 4107:5119 5130:6142 6153:7165 7176:8188 8199:9211 9222:10234 10245:11257 11268:12280 12291:13303 13314:14326 14337:15360 15371:16383" ht="19.8" customHeight="1">
      <c r="G42" s="168"/>
      <c r="H42" s="168"/>
      <c r="I42" s="168"/>
      <c r="J42" s="31"/>
      <c r="K42" s="31"/>
      <c r="L42" s="31"/>
      <c r="M42" s="31"/>
      <c r="N42" s="31"/>
      <c r="O42" s="31"/>
      <c r="P42" s="167"/>
      <c r="Q42" s="167"/>
      <c r="R42" s="167"/>
      <c r="S42" s="166"/>
      <c r="T42" s="166"/>
      <c r="U42" s="166"/>
      <c r="V42" s="166"/>
      <c r="W42" s="166"/>
      <c r="X42" s="166"/>
      <c r="Y42" s="166"/>
      <c r="Z42" s="166"/>
    </row>
    <row r="43" spans="4:1016 1027:2039 2050:3062 3073:4096 4107:5119 5130:6142 6153:7165 7176:8188 8199:9211 9222:10234 10245:11257 11268:12280 12291:13303 13314:14326 14337:15360 15371:16383" ht="19.8" customHeight="1">
      <c r="G43" s="168"/>
      <c r="H43" s="168"/>
      <c r="I43" s="168"/>
      <c r="K43" s="31"/>
      <c r="L43" s="31"/>
      <c r="M43" s="31"/>
      <c r="N43" s="31"/>
      <c r="O43" s="31"/>
      <c r="P43" s="169"/>
      <c r="Q43" s="167"/>
      <c r="R43" s="167"/>
      <c r="S43" s="166"/>
      <c r="T43" s="166"/>
      <c r="U43" s="166"/>
      <c r="V43" s="166"/>
      <c r="W43" s="166"/>
      <c r="X43" s="166"/>
      <c r="Y43" s="166"/>
      <c r="Z43" s="166"/>
    </row>
    <row r="44" spans="4:1016 1027:2039 2050:3062 3073:4096 4107:5119 5130:6142 6153:7165 7176:8188 8199:9211 9222:10234 10245:11257 11268:12280 12291:13303 13314:14326 14337:15360 15371:16383" hidden="1">
      <c r="D44" t="s">
        <v>391</v>
      </c>
      <c r="G44" s="168"/>
      <c r="H44" s="168"/>
      <c r="I44" s="168"/>
      <c r="J44" s="31"/>
      <c r="K44" s="171"/>
      <c r="L44" s="171"/>
      <c r="N44" s="31"/>
      <c r="O44" s="31"/>
      <c r="P44" s="169"/>
      <c r="Q44" s="167"/>
      <c r="R44" s="167"/>
      <c r="S44" s="166"/>
      <c r="T44" s="166"/>
      <c r="U44" s="166"/>
      <c r="V44" s="166"/>
      <c r="W44" s="166"/>
      <c r="X44" s="166"/>
      <c r="Y44" s="166"/>
      <c r="Z44" s="166"/>
    </row>
    <row r="45" spans="4:1016 1027:2039 2050:3062 3073:4096 4107:5119 5130:6142 6153:7165 7176:8188 8199:9211 9222:10234 10245:11257 11268:12280 12291:13303 13314:14326 14337:15360 15371:16383" hidden="1">
      <c r="D45" t="s">
        <v>392</v>
      </c>
      <c r="G45" s="168"/>
      <c r="H45" s="171"/>
      <c r="I45" s="171"/>
      <c r="J45" s="31"/>
      <c r="K45" s="171"/>
      <c r="L45" s="171"/>
      <c r="N45" s="31"/>
      <c r="O45" s="31"/>
      <c r="P45" s="169"/>
      <c r="Q45" s="167"/>
      <c r="R45" s="167"/>
      <c r="S45" s="166"/>
      <c r="T45" s="166"/>
      <c r="U45" s="166"/>
      <c r="V45" s="166"/>
      <c r="W45" s="166"/>
      <c r="X45" s="166"/>
      <c r="Y45" s="166"/>
      <c r="Z45" s="166"/>
    </row>
    <row r="46" spans="4:1016 1027:2039 2050:3062 3073:4096 4107:5119 5130:6142 6153:7165 7176:8188 8199:9211 9222:10234 10245:11257 11268:12280 12291:13303 13314:14326 14337:15360 15371:16383" hidden="1">
      <c r="P46" s="208"/>
      <c r="Q46" s="208"/>
      <c r="R46" s="208"/>
    </row>
  </sheetData>
  <sheetProtection algorithmName="SHA-512" hashValue="vX/f0FACgGTvoQ99Zo6gqH/Y3piuJSdyb/P1bxJw8SWaenx4aJBskt0ilpgWcFGYA/52vv+Yu5xKFXzPxsgK3Q==" saltValue="fF02LwSp7z7CBqsE0mBXDg==" spinCount="100000" sheet="1" objects="1" scenarios="1"/>
  <mergeCells count="13">
    <mergeCell ref="P46:R46"/>
    <mergeCell ref="G35:I35"/>
    <mergeCell ref="G8:H8"/>
    <mergeCell ref="G9:H9"/>
    <mergeCell ref="G10:H10"/>
    <mergeCell ref="D25:G25"/>
    <mergeCell ref="G30:I30"/>
    <mergeCell ref="J30:L30"/>
    <mergeCell ref="M30:M31"/>
    <mergeCell ref="G38:I38"/>
    <mergeCell ref="J38:L38"/>
    <mergeCell ref="G21:H21"/>
    <mergeCell ref="P23:T38"/>
  </mergeCells>
  <conditionalFormatting sqref="D27:I27">
    <cfRule type="expression" dxfId="58" priority="2">
      <formula>$AA$2&lt;&gt;"Homepower Bulk"</formula>
    </cfRule>
  </conditionalFormatting>
  <conditionalFormatting sqref="H27">
    <cfRule type="expression" dxfId="57" priority="1">
      <formula>$AA$2="Homepower Bulk"</formula>
    </cfRule>
  </conditionalFormatting>
  <dataValidations disablePrompts="1" count="1">
    <dataValidation type="list" allowBlank="1" showInputMessage="1" showErrorMessage="1" sqref="H45:I45 K44:L45 G35:I35" xr:uid="{E057598F-9332-4D03-B5B6-897B688E0498}">
      <formula1>$D$44:$D$45</formula1>
    </dataValidation>
  </dataValidations>
  <pageMargins left="0.7" right="0.7" top="0.75" bottom="0.75" header="0.3" footer="0.3"/>
  <pageSetup paperSize="9" scale="97" orientation="landscape" r:id="rId1"/>
  <ignoredErrors>
    <ignoredError sqref="G33:I33 G40:H40 K40 I40:J40 L40:M40 J33:L33 G2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bxTariff">
              <controlPr defaultSize="0" autoLine="0" autoPict="0">
                <anchor moveWithCells="1">
                  <from>
                    <xdr:col>6</xdr:col>
                    <xdr:colOff>7620</xdr:colOff>
                    <xdr:row>18</xdr:row>
                    <xdr:rowOff>7620</xdr:rowOff>
                  </from>
                  <to>
                    <xdr:col>8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bxCategory">
              <controlPr defaultSize="0" autoLine="0" autoPict="0">
                <anchor moveWithCells="1">
                  <from>
                    <xdr:col>6</xdr:col>
                    <xdr:colOff>7620</xdr:colOff>
                    <xdr:row>12</xdr:row>
                    <xdr:rowOff>7620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6</xdr:col>
                    <xdr:colOff>7620</xdr:colOff>
                    <xdr:row>16</xdr:row>
                    <xdr:rowOff>7620</xdr:rowOff>
                  </from>
                  <to>
                    <xdr:col>8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D423EC08-2065-49B3-AD37-9B07A8976AEF}">
            <xm:f>Lists!$E$8=2</xm:f>
            <x14:dxf>
              <font>
                <color theme="7" tint="0.39994506668294322"/>
              </font>
            </x14:dxf>
          </x14:cfRule>
          <xm:sqref>D25:D26 D35:D38 D28:D33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 filterMode="1">
    <pageSetUpPr fitToPage="1"/>
  </sheetPr>
  <dimension ref="A1:S78"/>
  <sheetViews>
    <sheetView showGridLines="0" zoomScale="80" zoomScaleNormal="80" workbookViewId="0">
      <pane ySplit="6" topLeftCell="A7" activePane="bottomLeft" state="frozen"/>
      <selection activeCell="L10" sqref="L10"/>
      <selection pane="bottomLeft" activeCell="C6" sqref="C6"/>
    </sheetView>
  </sheetViews>
  <sheetFormatPr defaultColWidth="0" defaultRowHeight="12" zeroHeight="1" outlineLevelRow="1"/>
  <cols>
    <col min="1" max="2" width="2.85546875" customWidth="1"/>
    <col min="3" max="3" width="35.42578125" bestFit="1" customWidth="1"/>
    <col min="4" max="4" width="12.28515625" customWidth="1"/>
    <col min="5" max="5" width="15.42578125" customWidth="1"/>
    <col min="6" max="6" width="16.140625" customWidth="1"/>
    <col min="7" max="7" width="21.7109375" customWidth="1"/>
    <col min="8" max="8" width="19" customWidth="1"/>
    <col min="9" max="9" width="20" customWidth="1"/>
    <col min="10" max="10" width="3.140625" customWidth="1"/>
    <col min="11" max="11" width="2.85546875" customWidth="1"/>
    <col min="12" max="12" width="35.42578125" bestFit="1" customWidth="1"/>
    <col min="13" max="13" width="21.140625" customWidth="1"/>
    <col min="14" max="14" width="31.140625" customWidth="1"/>
    <col min="15" max="15" width="17.140625" customWidth="1"/>
    <col min="16" max="16" width="20" customWidth="1"/>
    <col min="17" max="17" width="18.5703125" customWidth="1"/>
    <col min="18" max="18" width="19.5703125" customWidth="1"/>
    <col min="19" max="19" width="8.140625" customWidth="1"/>
    <col min="20" max="16384" width="9.28515625" hidden="1"/>
  </cols>
  <sheetData>
    <row r="1" spans="2:18" ht="3.9" customHeight="1"/>
    <row r="2" spans="2:18" ht="33" customHeight="1"/>
    <row r="3" spans="2:18" ht="3.9" customHeight="1"/>
    <row r="4" spans="2:18" ht="15">
      <c r="B4" s="1" t="s">
        <v>202</v>
      </c>
      <c r="C4" s="1"/>
      <c r="D4" s="1"/>
      <c r="E4" s="1"/>
      <c r="F4" s="1"/>
      <c r="G4" s="1"/>
      <c r="H4" s="1"/>
      <c r="I4" s="32" t="str">
        <f ca="1">D10</f>
        <v>Businessrate 1</v>
      </c>
      <c r="K4" s="1" t="str">
        <f>B4</f>
        <v>Monthly Average Bill</v>
      </c>
      <c r="L4" s="1"/>
      <c r="M4" s="1"/>
      <c r="N4" s="1"/>
      <c r="O4" s="1"/>
      <c r="P4" s="1"/>
      <c r="Q4" s="1"/>
      <c r="R4" s="32" t="str">
        <f ca="1">I4</f>
        <v>Businessrate 1</v>
      </c>
    </row>
    <row r="5" spans="2:18" ht="30" customHeight="1">
      <c r="H5" s="223"/>
      <c r="I5" s="223"/>
      <c r="Q5" s="223"/>
      <c r="R5" s="223"/>
    </row>
    <row r="6" spans="2:18" ht="13.2">
      <c r="B6" s="26" t="s">
        <v>13</v>
      </c>
      <c r="C6" s="26"/>
      <c r="D6" s="26"/>
      <c r="E6" s="26"/>
      <c r="F6" s="26"/>
      <c r="G6" s="26"/>
      <c r="H6" s="26"/>
      <c r="I6" s="26"/>
      <c r="K6" s="26" t="s">
        <v>12</v>
      </c>
      <c r="L6" s="26"/>
      <c r="M6" s="26"/>
      <c r="N6" s="26"/>
      <c r="O6" s="26"/>
      <c r="P6" s="26"/>
      <c r="Q6" s="26"/>
      <c r="R6" s="26"/>
    </row>
    <row r="7" spans="2:18"/>
    <row r="8" spans="2:18">
      <c r="B8" s="2" t="s">
        <v>2</v>
      </c>
      <c r="D8" s="2" t="str">
        <f>Customer_Name</f>
        <v>Customer Name</v>
      </c>
      <c r="K8" s="2" t="str">
        <f>B8</f>
        <v>Customer Name</v>
      </c>
      <c r="M8" s="2" t="str">
        <f>D8</f>
        <v>Customer Name</v>
      </c>
    </row>
    <row r="9" spans="2:18">
      <c r="B9" s="2" t="str">
        <f>Inputs!D10</f>
        <v>Point of delivery ID</v>
      </c>
      <c r="D9" s="2" t="str">
        <f>Delivery_ID</f>
        <v>Point of delivery</v>
      </c>
      <c r="F9" s="2"/>
      <c r="K9" s="2" t="str">
        <f>B9</f>
        <v>Point of delivery ID</v>
      </c>
      <c r="M9" s="2" t="str">
        <f>D9</f>
        <v>Point of delivery</v>
      </c>
    </row>
    <row r="10" spans="2:18" ht="22.2" customHeight="1">
      <c r="B10" s="2"/>
      <c r="C10" t="s">
        <v>20</v>
      </c>
      <c r="D10" t="str">
        <f ca="1">Selected_Base_Tariff</f>
        <v>Businessrate 1</v>
      </c>
      <c r="F10" s="222" t="s">
        <v>338</v>
      </c>
      <c r="G10" s="222"/>
      <c r="H10" s="22">
        <f>IF(Selected_Customer_Category_ID=1,SPU_Annual_Total_Energy,0)</f>
        <v>0</v>
      </c>
      <c r="I10" s="21" t="s">
        <v>11</v>
      </c>
      <c r="L10" t="str">
        <f>C10</f>
        <v>Tariff</v>
      </c>
      <c r="M10" t="str">
        <f ca="1">D10</f>
        <v>Businessrate 1</v>
      </c>
      <c r="N10" s="222" t="str">
        <f t="shared" ref="N10:N15" si="0">F10</f>
        <v>Ave Monthly Consumption for SPU tariffs excluding Homeflex</v>
      </c>
      <c r="O10" s="222"/>
      <c r="P10" s="135">
        <f t="shared" ref="P10:P15" si="1">H10</f>
        <v>0</v>
      </c>
      <c r="Q10" s="21" t="s">
        <v>11</v>
      </c>
    </row>
    <row r="11" spans="2:18" ht="12" customHeight="1">
      <c r="B11" s="2"/>
      <c r="F11" t="s">
        <v>333</v>
      </c>
      <c r="H11" s="22">
        <f>IF(Selected_Customer_Category_ID=1,Homeflex_Peak_Energy_High,0)</f>
        <v>0</v>
      </c>
      <c r="I11" s="21" t="s">
        <v>11</v>
      </c>
      <c r="N11" s="135" t="str">
        <f t="shared" si="0"/>
        <v>Ave Homeflex Monthly Peak</v>
      </c>
      <c r="O11" s="135"/>
      <c r="P11" s="135">
        <f>IF(Selected_Customer_Category_ID=1,Homeflex_Peak_Energy_Low,0)</f>
        <v>0</v>
      </c>
      <c r="Q11" s="21" t="s">
        <v>11</v>
      </c>
    </row>
    <row r="12" spans="2:18" ht="12" customHeight="1">
      <c r="B12" s="2"/>
      <c r="F12" t="s">
        <v>334</v>
      </c>
      <c r="H12" s="22">
        <f>IF(Selected_Customer_Category_ID=1,Homeflex_Standard_Energy_High,0)</f>
        <v>0</v>
      </c>
      <c r="I12" s="21" t="s">
        <v>11</v>
      </c>
      <c r="N12" s="135" t="str">
        <f t="shared" si="0"/>
        <v>Ave Homeflex Monthly Standard</v>
      </c>
      <c r="O12" s="135"/>
      <c r="P12" s="135">
        <f>IF(Selected_Customer_Category_ID=1,Homeflex_Standard_Energy_Low,0)</f>
        <v>0</v>
      </c>
      <c r="Q12" s="21" t="s">
        <v>11</v>
      </c>
    </row>
    <row r="13" spans="2:18" ht="12" customHeight="1">
      <c r="B13" s="2"/>
      <c r="F13" t="s">
        <v>335</v>
      </c>
      <c r="H13" s="22">
        <f>IF(Selected_Customer_Category_ID=1,Homeflex_OffPeak_Energy_High,0)</f>
        <v>0</v>
      </c>
      <c r="I13" s="21" t="s">
        <v>11</v>
      </c>
      <c r="N13" s="135" t="str">
        <f t="shared" si="0"/>
        <v>Ave Homeflex Monthly Off-peak</v>
      </c>
      <c r="O13" s="135"/>
      <c r="P13" s="135">
        <f>IF(Selected_Customer_Category_ID=1,Homeflex_OffPeak_Energy_Low,0)</f>
        <v>0</v>
      </c>
      <c r="Q13" s="21" t="s">
        <v>11</v>
      </c>
    </row>
    <row r="14" spans="2:18" ht="12" customHeight="1">
      <c r="B14" s="2"/>
      <c r="F14" t="s">
        <v>336</v>
      </c>
      <c r="H14" s="22">
        <f>IF(Selected_Customer_Category_ID=1,Homeflex_Total_Energy,0)</f>
        <v>0</v>
      </c>
      <c r="I14" s="21" t="s">
        <v>11</v>
      </c>
      <c r="N14" s="135" t="str">
        <f t="shared" si="0"/>
        <v>Ave Homeflex Total Monthly Consumption</v>
      </c>
      <c r="O14" s="135"/>
      <c r="P14" s="135">
        <f t="shared" si="1"/>
        <v>0</v>
      </c>
      <c r="Q14" s="21" t="s">
        <v>11</v>
      </c>
    </row>
    <row r="15" spans="2:18">
      <c r="C15" t="s">
        <v>21</v>
      </c>
      <c r="D15" t="str">
        <f ca="1">INDEX(Full_Tariff_Type,MATCH(D10,Full_Tariff_List,0))</f>
        <v>Urban</v>
      </c>
      <c r="F15" t="s">
        <v>96</v>
      </c>
      <c r="H15" s="4">
        <f>ESKOM_Total_days</f>
        <v>30.416666666666668</v>
      </c>
      <c r="I15" s="21" t="s">
        <v>97</v>
      </c>
      <c r="L15" t="str">
        <f>C15</f>
        <v>Tariff Category</v>
      </c>
      <c r="M15" t="str">
        <f ca="1">D15</f>
        <v>Urban</v>
      </c>
      <c r="N15" s="135" t="str">
        <f t="shared" si="0"/>
        <v>Days</v>
      </c>
      <c r="O15" s="135"/>
      <c r="P15" s="137">
        <f t="shared" si="1"/>
        <v>30.416666666666668</v>
      </c>
      <c r="Q15" s="21" t="s">
        <v>97</v>
      </c>
    </row>
    <row r="16" spans="2:18">
      <c r="C16" t="s">
        <v>72</v>
      </c>
      <c r="D16" t="str">
        <f ca="1">Selected_Supply_Voltage</f>
        <v>&lt; 500V</v>
      </c>
      <c r="L16" t="str">
        <f t="shared" ref="L16:M20" si="2">C16</f>
        <v>Supply voltage</v>
      </c>
      <c r="M16" t="str">
        <f t="shared" ca="1" si="2"/>
        <v>&lt; 500V</v>
      </c>
    </row>
    <row r="17" spans="2:18">
      <c r="C17" t="s">
        <v>210</v>
      </c>
      <c r="D17" t="str">
        <f>Selected_Tariff_Category</f>
        <v>Non-Local Authority</v>
      </c>
      <c r="L17" t="str">
        <f t="shared" si="2"/>
        <v>Tariff Classification</v>
      </c>
      <c r="M17" t="str">
        <f t="shared" si="2"/>
        <v>Non-Local Authority</v>
      </c>
    </row>
    <row r="18" spans="2:18">
      <c r="C18" t="s">
        <v>73</v>
      </c>
      <c r="D18" s="20">
        <f>PODs</f>
        <v>1</v>
      </c>
      <c r="L18" t="str">
        <f t="shared" si="2"/>
        <v>No of PODS</v>
      </c>
      <c r="M18" s="20">
        <f t="shared" si="2"/>
        <v>1</v>
      </c>
    </row>
    <row r="19" spans="2:18">
      <c r="C19" t="s">
        <v>74</v>
      </c>
      <c r="D19" t="str">
        <f ca="1">Selected_Supply_Size</f>
        <v>5kVA, 16kVA, 20A or 60A</v>
      </c>
      <c r="L19" t="str">
        <f t="shared" si="2"/>
        <v>Size of supply</v>
      </c>
      <c r="M19" t="str">
        <f t="shared" ca="1" si="2"/>
        <v>5kVA, 16kVA, 20A or 60A</v>
      </c>
    </row>
    <row r="20" spans="2:18" ht="3.9" customHeight="1">
      <c r="H20" s="4"/>
      <c r="I20" s="21"/>
      <c r="L20">
        <f t="shared" si="2"/>
        <v>0</v>
      </c>
      <c r="M20">
        <f t="shared" si="2"/>
        <v>0</v>
      </c>
    </row>
    <row r="21" spans="2:18"/>
    <row r="22" spans="2:18" ht="22.8">
      <c r="B22" s="17" t="s">
        <v>76</v>
      </c>
      <c r="C22" s="17"/>
      <c r="D22" s="16" t="s">
        <v>81</v>
      </c>
      <c r="E22" s="16" t="str">
        <f>Current_Period &amp;" Rates"</f>
        <v>2025/26 Rates</v>
      </c>
      <c r="F22" s="16" t="str">
        <f>New_Period &amp;" Rates"</f>
        <v>2026/27 Rates</v>
      </c>
      <c r="G22" s="16" t="str">
        <f>Current_Period&amp;" Charges"</f>
        <v>2025/26 Charges</v>
      </c>
      <c r="H22" s="16" t="str">
        <f>New_Period&amp;" Charges"</f>
        <v>2026/27 Charges</v>
      </c>
      <c r="I22" s="16" t="s">
        <v>92</v>
      </c>
      <c r="K22" s="17" t="s">
        <v>76</v>
      </c>
      <c r="L22" s="17"/>
      <c r="M22" s="16" t="s">
        <v>81</v>
      </c>
      <c r="N22" s="16" t="str">
        <f>Current_Period &amp;" Rates"</f>
        <v>2025/26 Rates</v>
      </c>
      <c r="O22" s="16" t="str">
        <f>New_Period &amp;" Rates"</f>
        <v>2026/27 Rates</v>
      </c>
      <c r="P22" s="16" t="str">
        <f>Current_Period&amp;" Charges"</f>
        <v>2025/26 Charges</v>
      </c>
      <c r="Q22" s="16" t="str">
        <f>New_Period&amp;" Charges"</f>
        <v>2026/27 Charges</v>
      </c>
      <c r="R22" s="16" t="s">
        <v>92</v>
      </c>
    </row>
    <row r="23" spans="2:18" ht="3.9" customHeight="1"/>
    <row r="24" spans="2:18">
      <c r="C24" t="s">
        <v>211</v>
      </c>
      <c r="D24" s="50" t="s">
        <v>80</v>
      </c>
      <c r="E24" s="18">
        <f ca="1">'Rates Table'!E10</f>
        <v>14.54</v>
      </c>
      <c r="F24" s="18">
        <f ca="1">'Rates Table'!AK10</f>
        <v>15.81</v>
      </c>
      <c r="G24" s="53">
        <f ca="1">IFERROR(E24*IF(OR($D$10="Homeflex 1",$D$10="Homeflex 2", $D$10="Homeflex 3",$D$10="Homeflex 4"),(Homeflex_Total_Monthly_Energy),SPU_Total_Energy),0)/100</f>
        <v>0</v>
      </c>
      <c r="H24" s="53">
        <f ca="1">IFERROR(F24*IF(OR($D$10="Homeflex 1",$D$10="Homeflex 2", $D$10="Homeflex 3",$D$10="Homeflex 4"),(Homeflex_Total_Monthly_Energy),SPU_Total_Energy),0)/100</f>
        <v>0</v>
      </c>
      <c r="I24" s="25">
        <f ca="1">IFERROR(H24/G24-1,0)</f>
        <v>0</v>
      </c>
      <c r="L24" t="s">
        <v>211</v>
      </c>
      <c r="M24" s="50" t="s">
        <v>80</v>
      </c>
      <c r="N24" s="18">
        <f ca="1">E24</f>
        <v>14.54</v>
      </c>
      <c r="O24" s="18">
        <f t="shared" ref="O24:Q26" ca="1" si="3">F24</f>
        <v>15.81</v>
      </c>
      <c r="P24" s="18">
        <f t="shared" ca="1" si="3"/>
        <v>0</v>
      </c>
      <c r="Q24" s="136">
        <f t="shared" ca="1" si="3"/>
        <v>0</v>
      </c>
      <c r="R24" s="25">
        <f ca="1">I24</f>
        <v>0</v>
      </c>
    </row>
    <row r="25" spans="2:18" ht="22.8" customHeight="1">
      <c r="C25" s="133" t="s">
        <v>331</v>
      </c>
      <c r="D25" s="50" t="s">
        <v>80</v>
      </c>
      <c r="E25" s="18">
        <f ca="1">'Rates Table'!E11</f>
        <v>0</v>
      </c>
      <c r="F25" s="18">
        <f ca="1">'Rates Table'!AK11</f>
        <v>0</v>
      </c>
      <c r="G25" s="53">
        <f ca="1">IFERROR(E25*Homeflex_Total_Monthly_Energy,0)/100</f>
        <v>0</v>
      </c>
      <c r="H25" s="53">
        <f ca="1">IFERROR(F25*Homeflex_Total_Monthly_Energy,0)/100</f>
        <v>0</v>
      </c>
      <c r="I25" s="25">
        <f ca="1">IFERROR(H25/G25-1,0)</f>
        <v>0</v>
      </c>
      <c r="L25" s="133" t="s">
        <v>331</v>
      </c>
      <c r="M25" s="50" t="s">
        <v>80</v>
      </c>
      <c r="N25" s="18">
        <f ca="1">E25</f>
        <v>0</v>
      </c>
      <c r="O25" s="18">
        <f t="shared" ca="1" si="3"/>
        <v>0</v>
      </c>
      <c r="P25" s="18">
        <f t="shared" ca="1" si="3"/>
        <v>0</v>
      </c>
      <c r="Q25" s="136">
        <f t="shared" ca="1" si="3"/>
        <v>0</v>
      </c>
      <c r="R25" s="25">
        <f ca="1">I25</f>
        <v>0</v>
      </c>
    </row>
    <row r="26" spans="2:18">
      <c r="C26" t="s">
        <v>254</v>
      </c>
      <c r="D26" s="50" t="str">
        <f ca="1">IF(Table_1=1,"R/kVA","R/day")</f>
        <v>R/day</v>
      </c>
      <c r="E26" s="18">
        <f ca="1">'Rates Table'!E12</f>
        <v>20.34</v>
      </c>
      <c r="F26" s="18">
        <f ca="1">'Rates Table'!AK12</f>
        <v>22.12</v>
      </c>
      <c r="G26" s="53">
        <f ca="1">IFERROR(E26*IF($D$10="Homepower Bulk",Inputs!$H$27,PODs*SPU_Days),0)</f>
        <v>618.67500000000007</v>
      </c>
      <c r="H26" s="53">
        <f ca="1">IFERROR(F26*IF($D$10="Homepower Bulk",Inputs!$H$27,PODs*SPU_Days),0)</f>
        <v>672.81666666666672</v>
      </c>
      <c r="I26" s="25">
        <f ca="1">IFERROR(H26/G26-1,0)</f>
        <v>8.7512291052114E-2</v>
      </c>
      <c r="L26" t="s">
        <v>254</v>
      </c>
      <c r="M26" s="50" t="str">
        <f ca="1">IF(Table_1=1,"R/kVA","R/day")</f>
        <v>R/day</v>
      </c>
      <c r="N26" s="18">
        <f ca="1">E26</f>
        <v>20.34</v>
      </c>
      <c r="O26" s="18">
        <f t="shared" ca="1" si="3"/>
        <v>22.12</v>
      </c>
      <c r="P26" s="18">
        <f t="shared" ca="1" si="3"/>
        <v>618.67500000000007</v>
      </c>
      <c r="Q26" s="136">
        <f t="shared" ca="1" si="3"/>
        <v>672.81666666666672</v>
      </c>
      <c r="R26" s="25">
        <f ca="1">I26</f>
        <v>8.7512291052114E-2</v>
      </c>
    </row>
    <row r="27" spans="2:18" ht="3.9" customHeight="1"/>
    <row r="28" spans="2:18">
      <c r="B28" s="6" t="s">
        <v>82</v>
      </c>
      <c r="C28" s="6"/>
      <c r="D28" s="5"/>
      <c r="E28" s="5"/>
      <c r="F28" s="5"/>
      <c r="G28" s="54">
        <f ca="1">SUM(G24:G26)</f>
        <v>618.67500000000007</v>
      </c>
      <c r="H28" s="54">
        <f ca="1">SUM(H24:H26)</f>
        <v>672.81666666666672</v>
      </c>
      <c r="I28" s="28">
        <f ca="1">IFERROR(H28/G28-1,0)</f>
        <v>8.7512291052114E-2</v>
      </c>
      <c r="K28" s="6" t="s">
        <v>82</v>
      </c>
      <c r="L28" s="6"/>
      <c r="M28" s="5"/>
      <c r="N28" s="5"/>
      <c r="O28" s="5"/>
      <c r="P28" s="54">
        <f ca="1">SUM(P24:P26)</f>
        <v>618.67500000000007</v>
      </c>
      <c r="Q28" s="54">
        <f ca="1">SUM(Q24:Q26)</f>
        <v>672.81666666666672</v>
      </c>
      <c r="R28" s="28">
        <f ca="1">IFERROR(Q28/P28-1,0)</f>
        <v>8.7512291052114E-2</v>
      </c>
    </row>
    <row r="29" spans="2:18"/>
    <row r="30" spans="2:18" ht="22.8">
      <c r="B30" s="17" t="s">
        <v>121</v>
      </c>
      <c r="C30" s="17"/>
      <c r="D30" s="16" t="s">
        <v>81</v>
      </c>
      <c r="E30" s="16" t="str">
        <f>E22</f>
        <v>2025/26 Rates</v>
      </c>
      <c r="F30" s="16" t="str">
        <f>F22</f>
        <v>2026/27 Rates</v>
      </c>
      <c r="G30" s="16" t="str">
        <f>G22</f>
        <v>2025/26 Charges</v>
      </c>
      <c r="H30" s="16" t="str">
        <f>H22</f>
        <v>2026/27 Charges</v>
      </c>
      <c r="I30" s="16" t="s">
        <v>92</v>
      </c>
      <c r="K30" s="17" t="s">
        <v>121</v>
      </c>
      <c r="L30" s="17"/>
      <c r="M30" s="16" t="s">
        <v>81</v>
      </c>
      <c r="N30" s="16" t="str">
        <f>N22</f>
        <v>2025/26 Rates</v>
      </c>
      <c r="O30" s="16" t="str">
        <f>O22</f>
        <v>2026/27 Rates</v>
      </c>
      <c r="P30" s="16" t="str">
        <f>P22</f>
        <v>2025/26 Charges</v>
      </c>
      <c r="Q30" s="16" t="str">
        <f>Q22</f>
        <v>2026/27 Charges</v>
      </c>
      <c r="R30" s="16" t="s">
        <v>92</v>
      </c>
    </row>
    <row r="31" spans="2:18"/>
    <row r="32" spans="2:18">
      <c r="C32" t="s">
        <v>91</v>
      </c>
      <c r="D32" s="50" t="s">
        <v>80</v>
      </c>
      <c r="E32" s="18">
        <f ca="1">'Rates Table'!E18</f>
        <v>224.93</v>
      </c>
      <c r="F32" s="34">
        <f ca="1">'Rates Table'!AK18</f>
        <v>242.9</v>
      </c>
      <c r="G32" s="53">
        <f ca="1">IFERROR(E32*(SPU_Total_Energy),0)/100</f>
        <v>0</v>
      </c>
      <c r="H32" s="53">
        <f ca="1">IFERROR(F32*(SPU_Total_Energy),0)/100</f>
        <v>0</v>
      </c>
      <c r="I32" s="25">
        <f t="shared" ref="I32:I38" ca="1" si="4">IFERROR(H32/G32-1,0)</f>
        <v>0</v>
      </c>
      <c r="L32" t="s">
        <v>91</v>
      </c>
      <c r="M32" s="50" t="s">
        <v>80</v>
      </c>
      <c r="N32" s="18">
        <f ca="1">E32</f>
        <v>224.93</v>
      </c>
      <c r="O32" s="34">
        <f ca="1">F32</f>
        <v>242.9</v>
      </c>
      <c r="P32" s="53">
        <f ca="1">G32</f>
        <v>0</v>
      </c>
      <c r="Q32" s="53">
        <f ca="1">H32</f>
        <v>0</v>
      </c>
      <c r="R32" s="25">
        <f ca="1">I32</f>
        <v>0</v>
      </c>
    </row>
    <row r="33" spans="2:18">
      <c r="C33" t="s">
        <v>325</v>
      </c>
      <c r="D33" s="50" t="s">
        <v>80</v>
      </c>
      <c r="E33" s="18">
        <f ca="1">'Rates Table'!E19</f>
        <v>0</v>
      </c>
      <c r="F33" s="34">
        <f ca="1">'Rates Table'!AK19</f>
        <v>0</v>
      </c>
      <c r="G33" s="53">
        <f ca="1">IFERROR(E33*(Ave_Monthly_Peak_High),0)/100</f>
        <v>0</v>
      </c>
      <c r="H33" s="53">
        <f ca="1">IFERROR(F33*(Ave_Monthly_Peak_High),0)/100</f>
        <v>0</v>
      </c>
      <c r="I33" s="25">
        <f t="shared" ca="1" si="4"/>
        <v>0</v>
      </c>
      <c r="L33" t="s">
        <v>325</v>
      </c>
      <c r="M33" s="50" t="s">
        <v>80</v>
      </c>
      <c r="N33" s="18">
        <f ca="1">IFERROR('Rates SPU - Current'!$L$29*IF(OR($D$10="Homeflex 1",$D$10="Homeflex 2", $D$10="Homeflex 3",$D$10="Homeflex 4"),1,0),0)</f>
        <v>0</v>
      </c>
      <c r="O33" s="18">
        <f ca="1">IFERROR('Rates SPU - New'!$L$29*IF(OR($D$10="Homeflex 1",$D$10="Homeflex 2", $D$10="Homeflex 3",$D$10="Homeflex 4"),1,0),0)</f>
        <v>0</v>
      </c>
      <c r="P33" s="53">
        <f ca="1">IFERROR(N33*IF(OR($D$10="Homeflex 1",$D$10="Homeflex 2", $D$10="Homeflex 3",$D$10="Homeflex 4"),(Ave_Monthly_Peak_Low),0),0)/100</f>
        <v>0</v>
      </c>
      <c r="Q33" s="53">
        <f ca="1">IFERROR(O33*IF(OR($D$10="Homeflex 1",$D$10="Homeflex 2", $D$10="Homeflex 3",$D$10="Homeflex 4"),(Ave_Monthly_Peak_Low),0),0)/100</f>
        <v>0</v>
      </c>
      <c r="R33" s="25">
        <f ca="1">IFERROR(Q33/P33-1,0)</f>
        <v>0</v>
      </c>
    </row>
    <row r="34" spans="2:18">
      <c r="C34" t="s">
        <v>326</v>
      </c>
      <c r="D34" s="50" t="s">
        <v>80</v>
      </c>
      <c r="E34" s="18">
        <f ca="1">'Rates Table'!E20</f>
        <v>0</v>
      </c>
      <c r="F34" s="34">
        <f ca="1">'Rates Table'!AK20</f>
        <v>0</v>
      </c>
      <c r="G34" s="53">
        <f ca="1">IFERROR(E34*(Ave_Monthly_Standard_High),0)/100</f>
        <v>0</v>
      </c>
      <c r="H34" s="53">
        <f ca="1">IFERROR(F34*(Ave_Monthly_Standard_High),0)/100</f>
        <v>0</v>
      </c>
      <c r="I34" s="25">
        <f t="shared" ca="1" si="4"/>
        <v>0</v>
      </c>
      <c r="L34" t="s">
        <v>326</v>
      </c>
      <c r="M34" s="50" t="s">
        <v>80</v>
      </c>
      <c r="N34" s="18">
        <f ca="1">IFERROR('Rates SPU - Current'!$M$29*IF(OR($D$10="Homeflex 1",$D$10="Homeflex 2", $D$10="Homeflex 3",$D$10="Homeflex 4"),1,0),0)</f>
        <v>0</v>
      </c>
      <c r="O34" s="18">
        <f ca="1">IFERROR('Rates SPU - New'!$M$29*IF(OR($D$10="Homeflex 1",$D$10="Homeflex 2", $D$10="Homeflex 3",$D$10="Homeflex 4"),1,0),0)</f>
        <v>0</v>
      </c>
      <c r="P34" s="53">
        <f ca="1">IFERROR(N34*IF(OR($D$10="Homeflex 1",$D$10="Homeflex 2", $D$10="Homeflex 3",$D$10="Homeflex 4"),(Ave_Monthly_Standard_Low),0),0)/100</f>
        <v>0</v>
      </c>
      <c r="Q34" s="53">
        <f ca="1">IFERROR(O34*IF(OR($D$10="Homeflex 1",$D$10="Homeflex 2", $D$10="Homeflex 3",$D$10="Homeflex 4"),(Ave_Monthly_Standard_Low),0),0)/100</f>
        <v>0</v>
      </c>
      <c r="R34" s="25">
        <f ca="1">IFERROR(Q34/P34-1,0)</f>
        <v>0</v>
      </c>
    </row>
    <row r="35" spans="2:18">
      <c r="C35" t="s">
        <v>327</v>
      </c>
      <c r="D35" s="50" t="s">
        <v>80</v>
      </c>
      <c r="E35" s="18">
        <f ca="1">'Rates Table'!E21</f>
        <v>0</v>
      </c>
      <c r="F35" s="34">
        <f ca="1">'Rates Table'!AK21</f>
        <v>0</v>
      </c>
      <c r="G35" s="53">
        <f ca="1">IFERROR(E35*(Ave_Monthly_OffPeak_High),0)/100</f>
        <v>0</v>
      </c>
      <c r="H35" s="53">
        <f ca="1">IFERROR(F35*(Ave_Monthly_OffPeak_High),0)/100</f>
        <v>0</v>
      </c>
      <c r="I35" s="25">
        <f t="shared" ca="1" si="4"/>
        <v>0</v>
      </c>
      <c r="L35" t="s">
        <v>327</v>
      </c>
      <c r="M35" s="50" t="s">
        <v>80</v>
      </c>
      <c r="N35" s="18">
        <f ca="1">IFERROR('Rates SPU - Current'!$N$29*IF(OR($D$10="Homeflex 1",$D$10="Homeflex 2", $D$10="Homeflex 3",$D$10="Homeflex 4"),1,0),0)</f>
        <v>0</v>
      </c>
      <c r="O35" s="18">
        <f ca="1">IFERROR('Rates SPU - New'!$N$29*IF(OR($D$10="Homeflex 1",$D$10="Homeflex 2", $D$10="Homeflex 3",$D$10="Homeflex 4"),1,0),0)</f>
        <v>0</v>
      </c>
      <c r="P35" s="53">
        <f ca="1">IFERROR(N35*IF(OR($D$10="Homeflex 1",$D$10="Homeflex 2", $D$10="Homeflex 3",$D$10="Homeflex 4"),(Ave_Monthly_OffPeak_Low),0),0)/100</f>
        <v>0</v>
      </c>
      <c r="Q35" s="53">
        <f ca="1">IFERROR(O35*IF(OR($D$10="Homeflex 1",$D$10="Homeflex 2", $D$10="Homeflex 3",$D$10="Homeflex 4"),(Ave_Monthly_OffPeak_Low),0),0)/100</f>
        <v>0</v>
      </c>
      <c r="R35" s="25">
        <f ca="1">IFERROR(Q35/P35-1,0)</f>
        <v>0</v>
      </c>
    </row>
    <row r="36" spans="2:18">
      <c r="C36" t="s">
        <v>126</v>
      </c>
      <c r="D36" s="50" t="s">
        <v>80</v>
      </c>
      <c r="E36" s="18">
        <f ca="1">'Rates Table'!E22</f>
        <v>0</v>
      </c>
      <c r="F36" s="34">
        <f ca="1">'Rates Table'!AK22</f>
        <v>0</v>
      </c>
      <c r="G36" s="53">
        <f ca="1">IFERROR(E36*(SPU_Block_1),0)/100</f>
        <v>0</v>
      </c>
      <c r="H36" s="53">
        <f ca="1">IFERROR(F36*(SPU_Block_1),0)/100</f>
        <v>0</v>
      </c>
      <c r="I36" s="25">
        <f t="shared" ca="1" si="4"/>
        <v>0</v>
      </c>
      <c r="L36" t="s">
        <v>126</v>
      </c>
      <c r="M36" s="50" t="s">
        <v>80</v>
      </c>
      <c r="N36" s="18">
        <f t="shared" ref="N36:R39" ca="1" si="5">E36</f>
        <v>0</v>
      </c>
      <c r="O36" s="34">
        <f t="shared" ca="1" si="5"/>
        <v>0</v>
      </c>
      <c r="P36" s="53">
        <f t="shared" ca="1" si="5"/>
        <v>0</v>
      </c>
      <c r="Q36" s="53">
        <f t="shared" ca="1" si="5"/>
        <v>0</v>
      </c>
      <c r="R36" s="25">
        <f t="shared" ca="1" si="5"/>
        <v>0</v>
      </c>
    </row>
    <row r="37" spans="2:18">
      <c r="C37" t="s">
        <v>127</v>
      </c>
      <c r="D37" s="50" t="s">
        <v>80</v>
      </c>
      <c r="E37" s="18">
        <f ca="1">'Rates Table'!E23</f>
        <v>0</v>
      </c>
      <c r="F37" s="34">
        <f ca="1">'Rates Table'!AK23</f>
        <v>0</v>
      </c>
      <c r="G37" s="53">
        <f ca="1">IFERROR(E37*(SPU_Block_2),0)/100</f>
        <v>0</v>
      </c>
      <c r="H37" s="53">
        <f ca="1">IFERROR(F37*(SPU_Block_2),0)/100</f>
        <v>0</v>
      </c>
      <c r="I37" s="25">
        <f t="shared" ca="1" si="4"/>
        <v>0</v>
      </c>
      <c r="L37" t="s">
        <v>127</v>
      </c>
      <c r="M37" s="50" t="s">
        <v>80</v>
      </c>
      <c r="N37" s="18">
        <f t="shared" ca="1" si="5"/>
        <v>0</v>
      </c>
      <c r="O37" s="34">
        <f t="shared" ca="1" si="5"/>
        <v>0</v>
      </c>
      <c r="P37" s="53">
        <f t="shared" ca="1" si="5"/>
        <v>0</v>
      </c>
      <c r="Q37" s="53">
        <f t="shared" ca="1" si="5"/>
        <v>0</v>
      </c>
      <c r="R37" s="25">
        <f t="shared" ca="1" si="5"/>
        <v>0</v>
      </c>
    </row>
    <row r="38" spans="2:18">
      <c r="C38" s="159" t="s">
        <v>373</v>
      </c>
      <c r="D38" s="50" t="s">
        <v>380</v>
      </c>
      <c r="E38" s="18">
        <f ca="1">'Rates Table'!E24</f>
        <v>1.98</v>
      </c>
      <c r="F38" s="34">
        <f ca="1">'Rates Table'!AK24</f>
        <v>3</v>
      </c>
      <c r="G38" s="53">
        <f ca="1">IFERROR(E38*IF($D$10="Homepower Bulk",Inputs!$H$27,PODs*SPU_Days),0)</f>
        <v>60.225000000000001</v>
      </c>
      <c r="H38" s="53">
        <f ca="1">IFERROR(F38*IF($D$10="Homepower Bulk",Inputs!$H$27,PODs*SPU_Days),0)</f>
        <v>91.25</v>
      </c>
      <c r="I38" s="25">
        <f t="shared" ca="1" si="4"/>
        <v>0.51515151515151514</v>
      </c>
      <c r="L38" t="s">
        <v>373</v>
      </c>
      <c r="M38" s="50" t="s">
        <v>380</v>
      </c>
      <c r="N38" s="18">
        <f t="shared" ca="1" si="5"/>
        <v>1.98</v>
      </c>
      <c r="O38" s="34">
        <f t="shared" ca="1" si="5"/>
        <v>3</v>
      </c>
      <c r="P38" s="53">
        <f t="shared" ca="1" si="5"/>
        <v>60.225000000000001</v>
      </c>
      <c r="Q38" s="53">
        <f t="shared" ca="1" si="5"/>
        <v>91.25</v>
      </c>
      <c r="R38" s="25">
        <f t="shared" ca="1" si="5"/>
        <v>0.51515151515151514</v>
      </c>
    </row>
    <row r="39" spans="2:18" ht="13.2" customHeight="1">
      <c r="C39" t="s">
        <v>374</v>
      </c>
      <c r="D39" s="50" t="s">
        <v>80</v>
      </c>
      <c r="E39" s="157">
        <f ca="1">'Rates Table'!E25</f>
        <v>0</v>
      </c>
      <c r="F39" s="157">
        <f ca="1">'Rates Table'!AK25</f>
        <v>0</v>
      </c>
      <c r="G39" s="53">
        <f ca="1">IFERROR(E39*IF(OR($D$10="Homeflex 1",$D$10="Homeflex 2", $D$10="Homeflex 3",$D$10="Homeflex 4"),(Homeflex_Total_Monthly_Energy),SPU_Total_Energy),0)/100</f>
        <v>0</v>
      </c>
      <c r="H39" s="53">
        <f ca="1">IFERROR(F39*IF(OR($D$10="Homeflex 1",$D$10="Homeflex 2", $D$10="Homeflex 3",$D$10="Homeflex 4"),(Homeflex_Total_Monthly_Energy),SPU_Total_Energy),0)/100</f>
        <v>0</v>
      </c>
      <c r="I39" s="25">
        <f ca="1">IFERROR(H39/G39-1,0)</f>
        <v>0</v>
      </c>
      <c r="L39" t="s">
        <v>374</v>
      </c>
      <c r="M39" s="50" t="s">
        <v>80</v>
      </c>
      <c r="N39" s="157">
        <f t="shared" ca="1" si="5"/>
        <v>0</v>
      </c>
      <c r="O39" s="157">
        <f t="shared" ca="1" si="5"/>
        <v>0</v>
      </c>
      <c r="P39" s="53">
        <f t="shared" ca="1" si="5"/>
        <v>0</v>
      </c>
      <c r="Q39" s="53">
        <f t="shared" ca="1" si="5"/>
        <v>0</v>
      </c>
      <c r="R39" s="25">
        <f t="shared" ca="1" si="5"/>
        <v>0</v>
      </c>
    </row>
    <row r="40" spans="2:18">
      <c r="B40" s="6" t="s">
        <v>83</v>
      </c>
      <c r="C40" s="6"/>
      <c r="D40" s="5"/>
      <c r="E40" s="5"/>
      <c r="F40" s="5"/>
      <c r="G40" s="54">
        <f ca="1">SUM(G32:G39)</f>
        <v>60.225000000000001</v>
      </c>
      <c r="H40" s="54">
        <f ca="1">SUM(H32:H39)</f>
        <v>91.25</v>
      </c>
      <c r="I40" s="28">
        <f ca="1">IFERROR(H40/G40-1,0)</f>
        <v>0.51515151515151514</v>
      </c>
      <c r="K40" s="6" t="s">
        <v>83</v>
      </c>
      <c r="L40" s="6"/>
      <c r="M40" s="5"/>
      <c r="N40" s="5"/>
      <c r="O40" s="5"/>
      <c r="P40" s="54">
        <f ca="1">SUM(P32:P39)</f>
        <v>60.225000000000001</v>
      </c>
      <c r="Q40" s="54">
        <f ca="1">SUM(Q32:Q39)</f>
        <v>91.25</v>
      </c>
      <c r="R40" s="28">
        <f ca="1">IFERROR(Q40/P40-1,0)</f>
        <v>0.51515151515151514</v>
      </c>
    </row>
    <row r="41" spans="2:18"/>
    <row r="42" spans="2:18" ht="22.8">
      <c r="B42" s="17" t="s">
        <v>93</v>
      </c>
      <c r="C42" s="17"/>
      <c r="D42" s="16" t="s">
        <v>81</v>
      </c>
      <c r="E42" s="16" t="str">
        <f>E22</f>
        <v>2025/26 Rates</v>
      </c>
      <c r="F42" s="16" t="str">
        <f>F22</f>
        <v>2026/27 Rates</v>
      </c>
      <c r="G42" s="16" t="str">
        <f>G22</f>
        <v>2025/26 Charges</v>
      </c>
      <c r="H42" s="16" t="str">
        <f>H22</f>
        <v>2026/27 Charges</v>
      </c>
      <c r="I42" s="16" t="s">
        <v>92</v>
      </c>
      <c r="K42" s="17" t="s">
        <v>93</v>
      </c>
      <c r="L42" s="17"/>
      <c r="M42" s="16" t="s">
        <v>81</v>
      </c>
      <c r="N42" s="16" t="str">
        <f>N22</f>
        <v>2025/26 Rates</v>
      </c>
      <c r="O42" s="16" t="str">
        <f>O22</f>
        <v>2026/27 Rates</v>
      </c>
      <c r="P42" s="16" t="str">
        <f>P22</f>
        <v>2025/26 Charges</v>
      </c>
      <c r="Q42" s="16" t="str">
        <f>Q22</f>
        <v>2026/27 Charges</v>
      </c>
      <c r="R42" s="16" t="s">
        <v>92</v>
      </c>
    </row>
    <row r="43" spans="2:18"/>
    <row r="44" spans="2:18">
      <c r="C44" t="s">
        <v>255</v>
      </c>
      <c r="D44" s="50" t="s">
        <v>80</v>
      </c>
      <c r="E44" s="18">
        <f ca="1">'Rates Table'!E31</f>
        <v>0.41</v>
      </c>
      <c r="F44" s="18">
        <f ca="1">'Rates Table'!AK31</f>
        <v>0.45</v>
      </c>
      <c r="G44" s="53">
        <f ca="1">IFERROR(E44*IF(OR($D$10="Homeflex 1",$D$10="Homeflex 2", $D$10="Homeflex 3",$D$10="Homeflex 4"),(Homeflex_Total_Monthly_Energy),SPU_Total_Energy),0)/100</f>
        <v>0</v>
      </c>
      <c r="H44" s="53">
        <f ca="1">IFERROR(F44*IF(OR($D$10="Homeflex 1",$D$10="Homeflex 2", $D$10="Homeflex 3",$D$10="Homeflex 4"),(Homeflex_Total_Monthly_Energy),SPU_Total_Energy),0)/100</f>
        <v>0</v>
      </c>
      <c r="I44" s="25">
        <f ca="1">IFERROR(H44/G44-1,0)</f>
        <v>0</v>
      </c>
      <c r="L44" t="s">
        <v>255</v>
      </c>
      <c r="M44" s="50" t="s">
        <v>80</v>
      </c>
      <c r="N44" s="18">
        <f t="shared" ref="N44:R45" ca="1" si="6">E44</f>
        <v>0.41</v>
      </c>
      <c r="O44" s="18">
        <f t="shared" ca="1" si="6"/>
        <v>0.45</v>
      </c>
      <c r="P44" s="53">
        <f t="shared" ca="1" si="6"/>
        <v>0</v>
      </c>
      <c r="Q44" s="53">
        <f t="shared" ca="1" si="6"/>
        <v>0</v>
      </c>
      <c r="R44" s="25">
        <f t="shared" ca="1" si="6"/>
        <v>0</v>
      </c>
    </row>
    <row r="45" spans="2:18">
      <c r="C45" t="s">
        <v>84</v>
      </c>
      <c r="D45" s="50" t="str">
        <f ca="1">IF(Table_1=1,"R/day","R/day")</f>
        <v>R/day</v>
      </c>
      <c r="E45" s="18">
        <f ca="1">'Rates Table'!E32</f>
        <v>14.7</v>
      </c>
      <c r="F45" s="18">
        <f ca="1">'Rates Table'!AK32</f>
        <v>15.99</v>
      </c>
      <c r="G45" s="53">
        <f ca="1">IFERROR(IF(Table_1=1,E45*PODs*SPU_Days,E45*PODs*SPU_Days),0)</f>
        <v>447.125</v>
      </c>
      <c r="H45" s="53">
        <f ca="1">IFERROR(IF(Table_1=1,F45*PODs*SPU_Days,F45*PODs*SPU_Days),0)</f>
        <v>486.36250000000001</v>
      </c>
      <c r="I45" s="25">
        <f ca="1">IFERROR(H45/G45-1,0)</f>
        <v>8.7755102040816269E-2</v>
      </c>
      <c r="L45" t="s">
        <v>84</v>
      </c>
      <c r="M45" s="50" t="str">
        <f ca="1">IF(Table_1=1,"R/day","R/day")</f>
        <v>R/day</v>
      </c>
      <c r="N45" s="18">
        <f t="shared" ca="1" si="6"/>
        <v>14.7</v>
      </c>
      <c r="O45" s="18">
        <f t="shared" ca="1" si="6"/>
        <v>15.99</v>
      </c>
      <c r="P45" s="53">
        <f t="shared" ca="1" si="6"/>
        <v>447.125</v>
      </c>
      <c r="Q45" s="53">
        <f t="shared" ca="1" si="6"/>
        <v>486.36250000000001</v>
      </c>
      <c r="R45" s="25">
        <f t="shared" ca="1" si="6"/>
        <v>8.7755102040816269E-2</v>
      </c>
    </row>
    <row r="46" spans="2:18">
      <c r="C46" t="s">
        <v>381</v>
      </c>
      <c r="D46" s="50" t="s">
        <v>80</v>
      </c>
      <c r="E46" s="18">
        <f ca="1">'Rates Table'!E33</f>
        <v>4.9400000000000004</v>
      </c>
      <c r="F46" s="18">
        <f ca="1">'Rates Table'!AK33</f>
        <v>5.37</v>
      </c>
      <c r="G46" s="165">
        <f ca="1">IFERROR(E46*IF(OR($D$10="Homeflex 1",$D$10="Homeflex 2", $D$10="Homeflex 3",$D$10="Homeflex 4"),(Homeflex_Total_Monthly_Energy),SPU_Total_Energy),0)/100</f>
        <v>0</v>
      </c>
      <c r="H46" s="53">
        <f ca="1">IFERROR(F46*IF(OR($D$10="Homeflex 1",$D$10="Homeflex 2", $D$10="Homeflex 3",$D$10="Homeflex 4"),(Homeflex_Total_Monthly_Energy),SPU_Total_Energy),0)/100</f>
        <v>0</v>
      </c>
      <c r="I46" s="25">
        <f ca="1">IFERROR(H46/G46-1,0)</f>
        <v>0</v>
      </c>
      <c r="L46" t="s">
        <v>255</v>
      </c>
      <c r="M46" s="50" t="s">
        <v>80</v>
      </c>
      <c r="N46" s="18">
        <f ca="1">E46</f>
        <v>4.9400000000000004</v>
      </c>
      <c r="O46" s="18">
        <f ca="1">F46</f>
        <v>5.37</v>
      </c>
      <c r="P46" s="165">
        <f ca="1">G46</f>
        <v>0</v>
      </c>
      <c r="Q46" s="53">
        <f ca="1">H46</f>
        <v>0</v>
      </c>
      <c r="R46" s="25">
        <f ca="1">I46</f>
        <v>0</v>
      </c>
    </row>
    <row r="47" spans="2:18"/>
    <row r="48" spans="2:18">
      <c r="B48" s="6" t="s">
        <v>94</v>
      </c>
      <c r="C48" s="6"/>
      <c r="D48" s="5"/>
      <c r="E48" s="5"/>
      <c r="F48" s="5"/>
      <c r="G48" s="54">
        <f ca="1">SUM(G44:G46)</f>
        <v>447.125</v>
      </c>
      <c r="H48" s="54">
        <f ca="1">SUM(H44:H46)</f>
        <v>486.36250000000001</v>
      </c>
      <c r="I48" s="28">
        <f ca="1">IFERROR(H48/G48-1,0)</f>
        <v>8.7755102040816269E-2</v>
      </c>
      <c r="K48" s="6" t="s">
        <v>94</v>
      </c>
      <c r="L48" s="6"/>
      <c r="M48" s="5"/>
      <c r="N48" s="5"/>
      <c r="O48" s="5"/>
      <c r="P48" s="54">
        <f ca="1">SUM(P44:P46)</f>
        <v>447.125</v>
      </c>
      <c r="Q48" s="54">
        <f ca="1">SUM(Q44:Q46)</f>
        <v>486.36250000000001</v>
      </c>
      <c r="R48" s="28">
        <f ca="1">IFERROR(Q48/P48-1,0)</f>
        <v>8.7755102040816269E-2</v>
      </c>
    </row>
    <row r="49" spans="2:18"/>
    <row r="50" spans="2:18">
      <c r="B50" s="6" t="s">
        <v>85</v>
      </c>
      <c r="C50" s="6"/>
      <c r="D50" s="5"/>
      <c r="E50" s="5"/>
      <c r="F50" s="5"/>
      <c r="G50" s="54">
        <f ca="1">G48+G40+G28</f>
        <v>1126.0250000000001</v>
      </c>
      <c r="H50" s="54">
        <f ca="1">H48+H40+H28</f>
        <v>1250.4291666666668</v>
      </c>
      <c r="I50" s="28">
        <f ca="1">IFERROR(H50/G50-1,0)</f>
        <v>0.11048082117774172</v>
      </c>
      <c r="K50" s="6" t="s">
        <v>85</v>
      </c>
      <c r="L50" s="6"/>
      <c r="M50" s="5"/>
      <c r="N50" s="5"/>
      <c r="O50" s="5"/>
      <c r="P50" s="54">
        <f ca="1">P48+P40+P28</f>
        <v>1126.0250000000001</v>
      </c>
      <c r="Q50" s="54">
        <f ca="1">Q48+Q40+Q28</f>
        <v>1250.4291666666668</v>
      </c>
      <c r="R50" s="28">
        <f ca="1">IFERROR(Q50/P50-1,0)</f>
        <v>0.11048082117774172</v>
      </c>
    </row>
    <row r="51" spans="2:18">
      <c r="B51" t="s">
        <v>86</v>
      </c>
      <c r="D51" s="187">
        <f>VAT</f>
        <v>0.15</v>
      </c>
      <c r="G51" s="53">
        <f ca="1">G50*$D51</f>
        <v>168.90375</v>
      </c>
      <c r="H51" s="53">
        <f ca="1">H50*$D51</f>
        <v>187.56437500000001</v>
      </c>
      <c r="K51" t="s">
        <v>86</v>
      </c>
      <c r="M51" s="187">
        <f>VAT</f>
        <v>0.15</v>
      </c>
      <c r="P51" s="53">
        <f ca="1">P50*$D51</f>
        <v>168.90375</v>
      </c>
      <c r="Q51" s="53">
        <f ca="1">Q50*$D51</f>
        <v>187.56437500000001</v>
      </c>
    </row>
    <row r="52" spans="2:18"/>
    <row r="53" spans="2:18" ht="12.6" thickBot="1">
      <c r="B53" s="27" t="s">
        <v>87</v>
      </c>
      <c r="C53" s="27"/>
      <c r="D53" s="29"/>
      <c r="E53" s="29"/>
      <c r="F53" s="29"/>
      <c r="G53" s="55">
        <f ca="1">SUM(G50:G51)</f>
        <v>1294.92875</v>
      </c>
      <c r="H53" s="55">
        <f ca="1">SUM(H50:H51)</f>
        <v>1437.9935416666667</v>
      </c>
      <c r="I53" s="30">
        <f ca="1">IFERROR(H53/G53-1,0)</f>
        <v>0.11048082117774172</v>
      </c>
      <c r="K53" s="27" t="s">
        <v>87</v>
      </c>
      <c r="L53" s="27"/>
      <c r="M53" s="29"/>
      <c r="N53" s="29"/>
      <c r="O53" s="29"/>
      <c r="P53" s="55">
        <f ca="1">SUM(P50:P51)</f>
        <v>1294.92875</v>
      </c>
      <c r="Q53" s="55">
        <f ca="1">SUM(Q50:Q51)</f>
        <v>1437.9935416666667</v>
      </c>
      <c r="R53" s="30">
        <f ca="1">IFERROR(Q53/P53-1,0)</f>
        <v>0.11048082117774172</v>
      </c>
    </row>
    <row r="54" spans="2:18"/>
    <row r="55" spans="2:18">
      <c r="B55" s="2" t="s">
        <v>209</v>
      </c>
      <c r="D55" s="2" t="s">
        <v>80</v>
      </c>
      <c r="G55" s="37">
        <f ca="1">IFERROR(IF(OR($D$10="Homeflex 1",$D$10="Homeflex 2", $D$10="Homeflex 3",$D$10="Homeflex 4"),G50/Homeflex_Total_Monthly_Energy*100,G50/SPU_Total_Energy*100),0)</f>
        <v>0</v>
      </c>
      <c r="H55" s="37">
        <f ca="1">IFERROR(IF(OR($D$10="Homeflex 1",$D$10="Homeflex 2", $D$10="Homeflex 3",$D$10="Homeflex 4"),H50/Homeflex_Total_Monthly_Energy*100,H50/SPU_Total_Energy*100),0)</f>
        <v>0</v>
      </c>
      <c r="I55" s="38">
        <f ca="1">IFERROR(H55/G55-1,0)</f>
        <v>0</v>
      </c>
      <c r="K55" s="2" t="s">
        <v>209</v>
      </c>
      <c r="M55" s="2" t="s">
        <v>80</v>
      </c>
      <c r="P55" s="37">
        <f ca="1">IFERROR(IF(OR($D$10="Homeflex 1",$D$10="Homeflex 2", $D$10="Homeflex 3",$D$10="Homeflex 4"),P50/Homeflex_Total_Monthly_Energy*100,P50/SPU_Total_Energy*100),0)</f>
        <v>0</v>
      </c>
      <c r="Q55" s="37">
        <f ca="1">IFERROR(IF(OR($D$10="Homeflex 1",$D$10="Homeflex 2", $D$10="Homeflex 3",$D$10="Homeflex 4"),Q50/Homeflex_Total_Monthly_Energy*100,Q50/SPU_Total_Energy*100),0)</f>
        <v>0</v>
      </c>
      <c r="R55" s="38">
        <f ca="1">IFERROR(Q55/P55-1,0)</f>
        <v>0</v>
      </c>
    </row>
    <row r="56" spans="2:18">
      <c r="B56" s="2"/>
      <c r="D56" s="2"/>
      <c r="G56" s="37"/>
      <c r="H56" s="37"/>
      <c r="I56" s="38"/>
    </row>
    <row r="57" spans="2:18">
      <c r="B57" s="2"/>
      <c r="D57" s="2"/>
      <c r="G57" s="37"/>
      <c r="H57" s="37"/>
      <c r="I57" s="38"/>
    </row>
    <row r="58" spans="2:18">
      <c r="B58" s="17" t="s">
        <v>342</v>
      </c>
      <c r="C58" s="17"/>
      <c r="D58" s="16" t="str">
        <f>Current_Period</f>
        <v>2025/26</v>
      </c>
      <c r="E58" s="16" t="str">
        <f>New_Period</f>
        <v>2026/27</v>
      </c>
      <c r="F58" s="16" t="s">
        <v>92</v>
      </c>
      <c r="G58" s="37"/>
      <c r="H58" s="37"/>
      <c r="I58" s="38"/>
      <c r="K58" s="17" t="s">
        <v>343</v>
      </c>
      <c r="L58" s="17"/>
      <c r="M58" s="16" t="str">
        <f>Current_Period</f>
        <v>2025/26</v>
      </c>
      <c r="N58" s="16" t="str">
        <f>New_Period</f>
        <v>2026/27</v>
      </c>
      <c r="O58" s="16" t="s">
        <v>92</v>
      </c>
    </row>
    <row r="59" spans="2:18">
      <c r="G59" s="37"/>
      <c r="H59" s="37"/>
      <c r="I59" s="38"/>
    </row>
    <row r="60" spans="2:18">
      <c r="C60" t="s">
        <v>159</v>
      </c>
      <c r="D60" s="53">
        <f ca="1">G28</f>
        <v>618.67500000000007</v>
      </c>
      <c r="E60" s="53">
        <f ca="1">H28</f>
        <v>672.81666666666672</v>
      </c>
      <c r="F60" s="25">
        <f ca="1">I28</f>
        <v>8.7512291052114E-2</v>
      </c>
      <c r="G60" s="37"/>
      <c r="H60" s="37"/>
      <c r="I60" s="38"/>
      <c r="L60" t="s">
        <v>159</v>
      </c>
      <c r="M60" s="53">
        <f ca="1">P28</f>
        <v>618.67500000000007</v>
      </c>
      <c r="N60" s="53">
        <f ca="1">Q28</f>
        <v>672.81666666666672</v>
      </c>
      <c r="O60" s="25">
        <f ca="1">R28</f>
        <v>8.7512291052114E-2</v>
      </c>
    </row>
    <row r="61" spans="2:18">
      <c r="C61" t="s">
        <v>160</v>
      </c>
      <c r="D61" s="53">
        <f ca="1">G40</f>
        <v>60.225000000000001</v>
      </c>
      <c r="E61" s="53">
        <f ca="1">H40</f>
        <v>91.25</v>
      </c>
      <c r="F61" s="25">
        <f ca="1">I40</f>
        <v>0.51515151515151514</v>
      </c>
      <c r="G61" s="37"/>
      <c r="H61" s="37"/>
      <c r="I61" s="38"/>
      <c r="L61" t="s">
        <v>160</v>
      </c>
      <c r="M61" s="53">
        <f ca="1">P40</f>
        <v>60.225000000000001</v>
      </c>
      <c r="N61" s="53">
        <f ca="1">Q40</f>
        <v>91.25</v>
      </c>
      <c r="O61" s="25">
        <f ca="1">R40</f>
        <v>0.51515151515151514</v>
      </c>
    </row>
    <row r="62" spans="2:18">
      <c r="C62" t="s">
        <v>161</v>
      </c>
      <c r="D62" s="53">
        <f ca="1">G48</f>
        <v>447.125</v>
      </c>
      <c r="E62" s="53">
        <f ca="1">H48</f>
        <v>486.36250000000001</v>
      </c>
      <c r="F62" s="25">
        <f ca="1">I48</f>
        <v>8.7755102040816269E-2</v>
      </c>
      <c r="G62" s="37"/>
      <c r="H62" s="37"/>
      <c r="I62" s="38"/>
      <c r="L62" t="s">
        <v>161</v>
      </c>
      <c r="M62" s="53">
        <f ca="1">P48</f>
        <v>447.125</v>
      </c>
      <c r="N62" s="53">
        <f ca="1">Q48</f>
        <v>486.36250000000001</v>
      </c>
      <c r="O62" s="25">
        <f ca="1">R48</f>
        <v>8.7755102040816269E-2</v>
      </c>
    </row>
    <row r="63" spans="2:18">
      <c r="D63" s="53"/>
      <c r="E63" s="53"/>
      <c r="F63" s="25"/>
      <c r="G63" s="37"/>
      <c r="H63" s="37"/>
      <c r="I63" s="38"/>
      <c r="M63" s="53"/>
      <c r="N63" s="53"/>
      <c r="O63" s="25"/>
    </row>
    <row r="64" spans="2:18">
      <c r="F64" s="25"/>
      <c r="G64" s="37"/>
      <c r="H64" s="37"/>
      <c r="I64" s="38"/>
      <c r="O64" s="25"/>
    </row>
    <row r="65" spans="2:15">
      <c r="C65" t="s">
        <v>86</v>
      </c>
      <c r="D65" s="53">
        <f ca="1">G51</f>
        <v>168.90375</v>
      </c>
      <c r="E65" s="53">
        <f ca="1">H51</f>
        <v>187.56437500000001</v>
      </c>
      <c r="F65" s="25"/>
      <c r="G65" s="37"/>
      <c r="H65" s="37"/>
      <c r="I65" s="38"/>
      <c r="L65" t="s">
        <v>86</v>
      </c>
      <c r="M65" s="53">
        <f ca="1">P51</f>
        <v>168.90375</v>
      </c>
      <c r="N65" s="53">
        <f ca="1">Q51</f>
        <v>187.56437500000001</v>
      </c>
      <c r="O65" s="25"/>
    </row>
    <row r="66" spans="2:15">
      <c r="G66" s="37"/>
      <c r="H66" s="37"/>
      <c r="I66" s="38"/>
    </row>
    <row r="67" spans="2:15" ht="12.6" thickBot="1">
      <c r="C67" s="27" t="s">
        <v>158</v>
      </c>
      <c r="D67" s="55">
        <f ca="1">G53</f>
        <v>1294.92875</v>
      </c>
      <c r="E67" s="55">
        <f ca="1">H53</f>
        <v>1437.9935416666667</v>
      </c>
      <c r="F67" s="30">
        <f ca="1">IFERROR(E67/D67-1,0)</f>
        <v>0.11048082117774172</v>
      </c>
      <c r="G67" s="37"/>
      <c r="H67" s="37"/>
      <c r="I67" s="38"/>
      <c r="L67" s="27" t="s">
        <v>158</v>
      </c>
      <c r="M67" s="55">
        <f ca="1">P53</f>
        <v>1294.92875</v>
      </c>
      <c r="N67" s="55">
        <f ca="1">Q53</f>
        <v>1437.9935416666667</v>
      </c>
      <c r="O67" s="30">
        <f ca="1">IFERROR(N67/M67-1,0)</f>
        <v>0.11048082117774172</v>
      </c>
    </row>
    <row r="68" spans="2:15">
      <c r="G68" s="37"/>
      <c r="H68" s="37"/>
      <c r="I68" s="38"/>
    </row>
    <row r="69" spans="2:15">
      <c r="B69" s="2"/>
      <c r="D69" s="2"/>
      <c r="G69" s="37"/>
      <c r="H69" s="37"/>
      <c r="I69" s="38"/>
    </row>
    <row r="70" spans="2:15">
      <c r="B70" s="2"/>
      <c r="D70" s="2"/>
      <c r="G70" s="37"/>
      <c r="H70" s="37"/>
      <c r="I70" s="38"/>
    </row>
    <row r="71" spans="2:15">
      <c r="B71" s="2"/>
      <c r="D71" s="2"/>
      <c r="G71" s="37"/>
      <c r="H71" s="37"/>
      <c r="I71" s="38"/>
    </row>
    <row r="72" spans="2:15"/>
    <row r="73" spans="2:15">
      <c r="G73" s="57"/>
      <c r="H73" s="57"/>
    </row>
    <row r="74" spans="2:15" hidden="1" outlineLevel="1">
      <c r="B74" s="2" t="s">
        <v>123</v>
      </c>
      <c r="G74" s="2"/>
    </row>
    <row r="75" spans="2:15" hidden="1" outlineLevel="1">
      <c r="C75" t="s">
        <v>124</v>
      </c>
      <c r="D75" s="4">
        <f ca="1">IF(SPU_Total_Energy &gt; SPU_Block_1_Upper, SPU_Block_1_Upper, SPU_Total_Energy)</f>
        <v>0</v>
      </c>
      <c r="E75" s="3">
        <f ca="1">IF(D10 = Lists!B21,  Block1_max_HL20A,  Block1_max_HL60A)</f>
        <v>600</v>
      </c>
    </row>
    <row r="76" spans="2:15" hidden="1" outlineLevel="1">
      <c r="C76" t="s">
        <v>125</v>
      </c>
      <c r="D76" s="4">
        <f ca="1">SPU_Total_Energy - D75</f>
        <v>0</v>
      </c>
    </row>
    <row r="77" spans="2:15" collapsed="1"/>
    <row r="78" spans="2:15" hidden="1">
      <c r="H78" s="22"/>
    </row>
  </sheetData>
  <sheetProtection algorithmName="SHA-512" hashValue="b4AhxQuVz3K2rbQLMbie7EPdAA+hgJ10JVxj9qHx8gQJ/9hrWzVTiyjjeWBwnptaoZ4HcEVio7iLIJ1kZq5hew==" saltValue="jR1VEFDtzQFL5bL5uchFgA==" spinCount="100000" sheet="1" objects="1" scenarios="1" formatColumns="0" formatRows="0" autoFilter="0"/>
  <autoFilter ref="B22:I55" xr:uid="{00000000-0009-0000-0000-000001000000}">
    <filterColumn colId="0" hiddenButton="1">
      <customFilters>
        <customFilter operator="notEqual" val="n/a"/>
      </customFilters>
    </filterColumn>
    <filterColumn colId="1" hiddenButton="1"/>
    <filterColumn colId="2" hiddenButton="1"/>
    <filterColumn colId="3" hiddenButton="1"/>
    <filterColumn colId="4" hiddenButton="1">
      <customFilters>
        <customFilter operator="notEqual" val="n/a"/>
      </customFilters>
    </filterColumn>
    <filterColumn colId="5" hiddenButton="1"/>
    <filterColumn colId="6" hiddenButton="1"/>
    <filterColumn colId="7" hiddenButton="1"/>
  </autoFilter>
  <mergeCells count="4">
    <mergeCell ref="N10:O10"/>
    <mergeCell ref="F10:G10"/>
    <mergeCell ref="H5:I5"/>
    <mergeCell ref="Q5:R5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V117"/>
  <sheetViews>
    <sheetView showGridLines="0" zoomScale="90" zoomScaleNormal="90" workbookViewId="0">
      <selection activeCell="L15" sqref="L15"/>
    </sheetView>
  </sheetViews>
  <sheetFormatPr defaultColWidth="0" defaultRowHeight="12" zeroHeight="1"/>
  <cols>
    <col min="1" max="2" width="2.85546875" customWidth="1"/>
    <col min="3" max="3" width="47.28515625" customWidth="1"/>
    <col min="4" max="5" width="15.42578125" customWidth="1"/>
    <col min="6" max="6" width="11" customWidth="1"/>
    <col min="7" max="7" width="11.140625" customWidth="1"/>
    <col min="8" max="8" width="19.85546875" customWidth="1"/>
    <col min="9" max="9" width="14.85546875" bestFit="1" customWidth="1"/>
    <col min="10" max="10" width="11" customWidth="1"/>
    <col min="11" max="11" width="3.85546875" customWidth="1"/>
    <col min="12" max="12" width="12.5703125" customWidth="1"/>
    <col min="13" max="13" width="12.42578125" customWidth="1"/>
    <col min="14" max="14" width="11" customWidth="1"/>
    <col min="15" max="15" width="3.85546875" customWidth="1"/>
    <col min="16" max="16" width="12.42578125" customWidth="1"/>
    <col min="17" max="17" width="20.5703125" customWidth="1"/>
    <col min="18" max="18" width="10.7109375" customWidth="1"/>
    <col min="19" max="19" width="5.7109375" customWidth="1"/>
    <col min="20" max="21" width="12.42578125" hidden="1" customWidth="1"/>
    <col min="22" max="22" width="11" hidden="1" customWidth="1"/>
    <col min="23" max="23" width="9.28515625" hidden="1" customWidth="1"/>
    <col min="24" max="16384" width="9.28515625" hidden="1"/>
  </cols>
  <sheetData>
    <row r="1" spans="2:19" ht="3.9" customHeight="1"/>
    <row r="2" spans="2:19" ht="33" customHeight="1">
      <c r="D2" s="161" t="str">
        <f>IF(Selected_Tariff_Category_ID=2,Inputs!G21,"")</f>
        <v/>
      </c>
      <c r="E2" s="161" t="str">
        <f>IF(Selected_Tariff_Category_ID=2,Selected_Base_Tariff,"")</f>
        <v/>
      </c>
      <c r="F2" s="161"/>
      <c r="H2" s="51" t="s">
        <v>203</v>
      </c>
    </row>
    <row r="3" spans="2:19" ht="3.9" customHeight="1"/>
    <row r="4" spans="2:19" ht="15">
      <c r="B4" s="1" t="s">
        <v>340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2" t="str">
        <f ca="1">'Monthly Average Bill'!I4</f>
        <v>Businessrate 1</v>
      </c>
      <c r="S4" s="1"/>
    </row>
    <row r="5" spans="2:19" ht="13.8" customHeight="1">
      <c r="P5" s="224"/>
      <c r="Q5" s="224"/>
    </row>
    <row r="6" spans="2:19" ht="17.25" customHeight="1">
      <c r="D6" s="44"/>
      <c r="E6" s="44"/>
      <c r="F6" s="44"/>
      <c r="H6" s="56">
        <v>1</v>
      </c>
      <c r="J6" s="162">
        <f ca="1">MATCH(H8,Full_Tariff_List,0)</f>
        <v>1</v>
      </c>
      <c r="L6" s="56">
        <v>3</v>
      </c>
      <c r="N6">
        <f ca="1">MATCH(L8,Full_Tariff_List,0)</f>
        <v>10</v>
      </c>
      <c r="P6" s="56">
        <v>1</v>
      </c>
      <c r="R6" s="161">
        <f ca="1">MATCH(P8,Full_Tariff_List,0)</f>
        <v>1</v>
      </c>
    </row>
    <row r="7" spans="2:19" ht="3.9" customHeight="1">
      <c r="D7" s="44"/>
      <c r="E7" s="44"/>
      <c r="F7" s="44"/>
    </row>
    <row r="8" spans="2:19" ht="9.6" customHeight="1">
      <c r="D8" s="189" t="str">
        <f ca="1">'Monthly Average Bill'!I4</f>
        <v>Businessrate 1</v>
      </c>
      <c r="E8" s="189"/>
      <c r="F8" s="189"/>
      <c r="H8" s="191" t="str">
        <f ca="1">IFERROR(INDEX(Compare_Tariff_List,Dropdown_Compare_1),$D$8)</f>
        <v>Businessrate 1</v>
      </c>
      <c r="I8" s="191"/>
      <c r="J8" s="191"/>
      <c r="K8" s="161"/>
      <c r="L8" s="191" t="str">
        <f ca="1">IFERROR(INDEX(Compare_Tariff_List,Dropdown_Compare_2),$D$8)</f>
        <v>Homepower 4</v>
      </c>
      <c r="M8" s="191"/>
      <c r="N8" s="191"/>
      <c r="O8" s="161"/>
      <c r="P8" s="191" t="str">
        <f ca="1">IFERROR(INDEX(Compare_Tariff_List,Dropdown_Compare_3),$D$8)</f>
        <v>Businessrate 1</v>
      </c>
      <c r="Q8" s="191"/>
      <c r="R8" s="191"/>
    </row>
    <row r="9" spans="2:19" ht="9.6" customHeight="1">
      <c r="D9" s="190" t="str">
        <f ca="1">IFERROR(INDEX(Compare_Long_Type,Selected_Compare_Tariff_ID),"")</f>
        <v>Commercial Urban</v>
      </c>
      <c r="E9" s="190"/>
      <c r="F9" s="190"/>
      <c r="H9" s="52" t="str">
        <f ca="1">IFERROR(INDEX(Compare_Long_Type,Dropdown_Compare_1),"")</f>
        <v>Commercial Urban</v>
      </c>
      <c r="I9" s="52"/>
      <c r="J9" s="52"/>
      <c r="K9" s="40"/>
      <c r="L9" s="52" t="str">
        <f ca="1">IFERROR(INDEX(Compare_Long_Type,Dropdown_Compare_2),"")</f>
        <v>Residential Urban</v>
      </c>
      <c r="M9" s="52"/>
      <c r="N9" s="52"/>
      <c r="O9" s="40"/>
      <c r="P9" s="52" t="str">
        <f ca="1">IFERROR(INDEX(Compare_Long_Type,Dropdown_Compare_3),"")</f>
        <v>Commercial Urban</v>
      </c>
      <c r="Q9" s="52"/>
      <c r="R9" s="52"/>
      <c r="S9" s="40"/>
    </row>
    <row r="10" spans="2:19" ht="17.25" customHeight="1">
      <c r="D10" s="190"/>
      <c r="E10" s="190"/>
      <c r="F10" s="61"/>
      <c r="H10" s="52"/>
      <c r="I10" s="52"/>
      <c r="J10" s="52"/>
      <c r="K10" s="40"/>
      <c r="L10" s="52"/>
      <c r="M10" s="52"/>
      <c r="N10" s="52"/>
      <c r="O10" s="40"/>
      <c r="P10" s="52"/>
      <c r="Q10" s="52"/>
      <c r="R10" s="52"/>
      <c r="S10" s="40"/>
    </row>
    <row r="11" spans="2:19" ht="30" customHeight="1">
      <c r="D11" s="194" t="str">
        <f ca="1">'Rates Table'!E2</f>
        <v>Businessrate 1</v>
      </c>
      <c r="E11" s="188" t="str">
        <f ca="1">Selected_Base_Tariff</f>
        <v>Businessrate 1</v>
      </c>
      <c r="F11" s="61"/>
      <c r="H11" s="226" t="str">
        <f ca="1">H8</f>
        <v>Businessrate 1</v>
      </c>
      <c r="I11" s="226"/>
      <c r="J11" s="52"/>
      <c r="K11" s="40"/>
      <c r="L11" s="225" t="str">
        <f ca="1">L8</f>
        <v>Homepower 4</v>
      </c>
      <c r="M11" s="225"/>
      <c r="N11" s="52"/>
      <c r="O11" s="40"/>
      <c r="P11" s="225" t="str">
        <f ca="1">P8</f>
        <v>Businessrate 1</v>
      </c>
      <c r="Q11" s="225"/>
      <c r="R11" s="52"/>
      <c r="S11" s="40"/>
    </row>
    <row r="12" spans="2:19">
      <c r="B12" s="15" t="s">
        <v>132</v>
      </c>
      <c r="C12" s="15"/>
      <c r="D12" s="160" t="str">
        <f>Current_Period</f>
        <v>2025/26</v>
      </c>
      <c r="E12" s="160" t="str">
        <f>New_Period</f>
        <v>2026/27</v>
      </c>
      <c r="F12" s="15" t="s">
        <v>92</v>
      </c>
      <c r="H12" s="160" t="str">
        <f>Current_Period</f>
        <v>2025/26</v>
      </c>
      <c r="I12" s="160" t="str">
        <f>New_Period</f>
        <v>2026/27</v>
      </c>
      <c r="J12" s="15" t="s">
        <v>92</v>
      </c>
      <c r="L12" s="160" t="str">
        <f>Current_Period</f>
        <v>2025/26</v>
      </c>
      <c r="M12" s="15" t="str">
        <f>New_Period</f>
        <v>2026/27</v>
      </c>
      <c r="N12" s="15" t="s">
        <v>92</v>
      </c>
      <c r="P12" s="160" t="str">
        <f>Current_Period</f>
        <v>2025/26</v>
      </c>
      <c r="Q12" s="15" t="str">
        <f>New_Period</f>
        <v>2026/27</v>
      </c>
      <c r="R12" s="15" t="s">
        <v>92</v>
      </c>
    </row>
    <row r="13" spans="2:19">
      <c r="D13" s="44"/>
      <c r="E13" s="44"/>
      <c r="F13" s="44"/>
    </row>
    <row r="14" spans="2:19">
      <c r="C14" t="s">
        <v>195</v>
      </c>
      <c r="D14" s="58">
        <f ca="1">'Monthly Average Bill'!D60</f>
        <v>618.67500000000007</v>
      </c>
      <c r="E14" s="58">
        <f ca="1">'Monthly Average Bill'!E60</f>
        <v>672.81666666666672</v>
      </c>
      <c r="F14" s="45">
        <f ca="1">IFERROR(E14/D14-1,0)</f>
        <v>8.7512291052114E-2</v>
      </c>
      <c r="H14" s="53">
        <f ca="1">IFERROR(SUMIFS(SPU_Network_Costs_Current,'Workings High'!$F$7:$AI$7,J$6),"")</f>
        <v>618.67500000000007</v>
      </c>
      <c r="I14" s="53">
        <f ca="1">IFERROR(SUMIFS(SPU_Network_Costs_New,'Workings High'!$F$7:$AI$7,J$6),"")</f>
        <v>672.81666666666672</v>
      </c>
      <c r="J14" s="25">
        <f ca="1">IFERROR(I14/H14-1,0)</f>
        <v>8.7512291052114E-2</v>
      </c>
      <c r="L14" s="53">
        <f ca="1">IFERROR(SUMIFS(SPU_Network_Costs_Current,'Workings High'!$F$7:$AI$7,N$6),"")</f>
        <v>253.97916666666666</v>
      </c>
      <c r="M14" s="53">
        <f ca="1">IFERROR(SUMIFS(SPU_Network_Costs_New,'Workings High'!$F$7:$AI$7,N$6),"")</f>
        <v>276.18333333333334</v>
      </c>
      <c r="N14" s="25">
        <f ca="1">IFERROR(M14/L14-1,0)</f>
        <v>8.7425149700598892E-2</v>
      </c>
      <c r="P14" s="53">
        <f ca="1">IFERROR(SUMIFS(SPU_Network_Costs_Current,'Workings High'!$F$7:$AI$7,R$6),"")</f>
        <v>618.67500000000007</v>
      </c>
      <c r="Q14" s="53">
        <f ca="1">IFERROR(SUMIFS(SPU_Network_Costs_New,'Workings High'!$F$7:$AI$7,R$6),"")</f>
        <v>672.81666666666672</v>
      </c>
      <c r="R14" s="25">
        <f ca="1">IFERROR(Q14/P14-1,0)</f>
        <v>8.7512291052114E-2</v>
      </c>
    </row>
    <row r="15" spans="2:19">
      <c r="C15" t="s">
        <v>196</v>
      </c>
      <c r="D15" s="58">
        <f ca="1">'Monthly Average Bill'!D61</f>
        <v>60.225000000000001</v>
      </c>
      <c r="E15" s="58">
        <f ca="1">'Monthly Average Bill'!E61</f>
        <v>91.25</v>
      </c>
      <c r="F15" s="45">
        <f ca="1">IFERROR(E15/D15-1,0)</f>
        <v>0.51515151515151514</v>
      </c>
      <c r="H15" s="53">
        <f ca="1">IFERROR(SUMIFS(SPU_Energy_Charges_Current,'Workings High'!$F$7:$AI$7,J$6),"")</f>
        <v>60.225000000000001</v>
      </c>
      <c r="I15" s="53">
        <f ca="1">IFERROR(SUMIFS(SPU_Energy_Charges_New,'Workings High'!$F$7:$AI$7,J$6),"")</f>
        <v>91.25</v>
      </c>
      <c r="J15" s="25">
        <f ca="1">IFERROR(I15/H15-1,0)</f>
        <v>0.51515151515151514</v>
      </c>
      <c r="L15" s="53">
        <f ca="1">IFERROR(SUMIFS(SPU_Energy_Charges_Current,'Workings High'!$F$7:$AI$7,N$6),"")</f>
        <v>14.295833333333333</v>
      </c>
      <c r="M15" s="53">
        <f ca="1">IFERROR(SUMIFS(SPU_Energy_Charges_New,'Workings High'!$F$7:$AI$7,N$6),"")</f>
        <v>21.595833333333331</v>
      </c>
      <c r="N15" s="25">
        <f ca="1">IFERROR(M15/L15-1,0)</f>
        <v>0.51063829787234027</v>
      </c>
      <c r="P15" s="53">
        <f ca="1">IFERROR(SUMIFS(SPU_Energy_Charges_Current,'Workings High'!$F$7:$AI$7,R$6),"")</f>
        <v>60.225000000000001</v>
      </c>
      <c r="Q15" s="53">
        <f ca="1">IFERROR(SUMIFS(SPU_Energy_Charges_New,'Workings High'!$F$7:$AI$7,R$6),"")</f>
        <v>91.25</v>
      </c>
      <c r="R15" s="25">
        <f ca="1">IFERROR(Q15/P15-1,0)</f>
        <v>0.51515151515151514</v>
      </c>
    </row>
    <row r="16" spans="2:19">
      <c r="C16" t="s">
        <v>197</v>
      </c>
      <c r="D16" s="58">
        <f ca="1">'Monthly Average Bill'!D62</f>
        <v>447.125</v>
      </c>
      <c r="E16" s="58">
        <f ca="1">'Monthly Average Bill'!E62</f>
        <v>486.36250000000001</v>
      </c>
      <c r="F16" s="45">
        <f ca="1">IFERROR(E16/D16-1,0)</f>
        <v>8.7755102040816269E-2</v>
      </c>
      <c r="H16" s="53">
        <f ca="1">IFERROR(SUMIFS(SPU_Other_Charges_Current,'Workings High'!$F$7:$AI$7,J$6),"")</f>
        <v>447.125</v>
      </c>
      <c r="I16" s="53">
        <f ca="1">IFERROR(SUMIFS(SPU_Other_Charges_NEw,'Workings High'!$F$7:$AI$7,J$6),"")</f>
        <v>486.36250000000001</v>
      </c>
      <c r="J16" s="25">
        <f ca="1">IFERROR(I16/H16-1,0)</f>
        <v>8.7755102040816269E-2</v>
      </c>
      <c r="L16" s="53">
        <f ca="1">IFERROR(SUMIFS(SPU_Other_Charges_Current,'Workings High'!$F$7:$AI$7,N$6),"")</f>
        <v>99.462500000000006</v>
      </c>
      <c r="M16" s="53">
        <f ca="1">IFERROR(SUMIFS(SPU_Other_Charges_NEw,'Workings High'!$F$7:$AI$7,N$6),"")</f>
        <v>174.59166666666667</v>
      </c>
      <c r="N16" s="25">
        <f ca="1">IFERROR(M16/L16-1,0)</f>
        <v>0.75535168195718638</v>
      </c>
      <c r="P16" s="53">
        <f ca="1">IFERROR(SUMIFS(SPU_Other_Charges_Current,'Workings High'!$F$7:$AI$7,R$6),"")</f>
        <v>447.125</v>
      </c>
      <c r="Q16" s="53">
        <f ca="1">IFERROR(SUMIFS(SPU_Other_Charges_NEw,'Workings High'!$F$7:$AI$7,R$6),"")</f>
        <v>486.36250000000001</v>
      </c>
      <c r="R16" s="25">
        <f ca="1">IFERROR(Q16/P16-1,0)</f>
        <v>8.7755102040816269E-2</v>
      </c>
    </row>
    <row r="17" spans="2:18" ht="3.9" customHeight="1">
      <c r="D17" s="44"/>
      <c r="E17" s="44"/>
      <c r="F17" s="44"/>
    </row>
    <row r="18" spans="2:18">
      <c r="C18" s="6" t="s">
        <v>14</v>
      </c>
      <c r="D18" s="59">
        <f ca="1">'Monthly Average Bill'!G50</f>
        <v>1126.0250000000001</v>
      </c>
      <c r="E18" s="59">
        <f ca="1">'Monthly Average Bill'!H50</f>
        <v>1250.4291666666668</v>
      </c>
      <c r="F18" s="46">
        <f ca="1">IFERROR(E18/D18-1,0)</f>
        <v>0.11048082117774172</v>
      </c>
      <c r="H18" s="54">
        <f ca="1">SUM(H14:H16)</f>
        <v>1126.0250000000001</v>
      </c>
      <c r="I18" s="54">
        <f ca="1">SUM(I14:I16)</f>
        <v>1250.4291666666668</v>
      </c>
      <c r="J18" s="28">
        <f ca="1">IFERROR(I18/H18-1,0)</f>
        <v>0.11048082117774172</v>
      </c>
      <c r="L18" s="54">
        <f ca="1">SUM(L14:L16)</f>
        <v>367.73749999999995</v>
      </c>
      <c r="M18" s="54">
        <f ca="1">SUM(M14:M16)</f>
        <v>472.37083333333339</v>
      </c>
      <c r="N18" s="28">
        <f ca="1">IFERROR(M18/L18-1,0)</f>
        <v>0.28453267162944607</v>
      </c>
      <c r="P18" s="54">
        <f ca="1">SUM(P14:P16)</f>
        <v>1126.0250000000001</v>
      </c>
      <c r="Q18" s="54">
        <f ca="1">SUM(Q14:Q16)</f>
        <v>1250.4291666666668</v>
      </c>
      <c r="R18" s="28">
        <f ca="1">IFERROR(Q18/P18-1,0)</f>
        <v>0.11048082117774172</v>
      </c>
    </row>
    <row r="19" spans="2:18">
      <c r="D19" s="44"/>
      <c r="E19" s="44"/>
      <c r="F19" s="44"/>
    </row>
    <row r="20" spans="2:18">
      <c r="C20" s="2" t="s">
        <v>88</v>
      </c>
      <c r="D20" s="47">
        <f ca="1">'Monthly Average Bill'!G55</f>
        <v>0</v>
      </c>
      <c r="E20" s="47">
        <f ca="1">'Monthly Average Bill'!H55</f>
        <v>0</v>
      </c>
      <c r="F20" s="48">
        <f ca="1">IFERROR(E20/D20-1,0)</f>
        <v>0</v>
      </c>
      <c r="H20" s="37">
        <f ca="1">IFERROR(H18/(IF(OR(H$8="Homeflex 1",H$8="Homeflex 2", H$8="Homeflex 3",H$8="Homeflex 4"),(Homeflex_Total_Monthly_Energy),SPU_Total_Energy))*100,0)</f>
        <v>0</v>
      </c>
      <c r="I20" s="37">
        <f ca="1">IFERROR(I18/(IF(OR(H$8="Homeflex 1",H$8="Homeflex 2", H$8="Homeflex 3",H$8="Homeflex 4"),(Homeflex_Total_Monthly_Energy),SPU_Total_Energy))*100,0)</f>
        <v>0</v>
      </c>
      <c r="J20" s="38">
        <f ca="1">IFERROR(I20/H20-1,0)</f>
        <v>0</v>
      </c>
      <c r="L20" s="37">
        <f ca="1">IFERROR(L18/(IF(OR(L$8="Homeflex 1",L$8="Homeflex 2", L$8="Homeflex 3",L$8="Homeflex 4"),(Homeflex_Total_Monthly_Energy),SPU_Total_Energy))*100,0)</f>
        <v>0</v>
      </c>
      <c r="M20" s="37">
        <f ca="1">IFERROR(M18/(IF(OR(L$8="Homeflex 1",L$8="Homeflex 2", L$8="Homeflex 3",L$8="Homeflex 4"),(Homeflex_Total_Monthly_Energy),SPU_Total_Energy))*100,0)</f>
        <v>0</v>
      </c>
      <c r="N20" s="38">
        <f ca="1">IFERROR(M20/L20-1,0)</f>
        <v>0</v>
      </c>
      <c r="P20" s="37">
        <f ca="1">IFERROR(P18/(IF(OR(P$8="Homeflex 1",P$8="Homeflex 2", P$8="Homeflex 3",P$8="Homeflex 4"),(Homeflex_Total_Monthly_Energy),SPU_Total_Energy))*100,0)</f>
        <v>0</v>
      </c>
      <c r="Q20" s="37">
        <f ca="1">IFERROR(Q18/(IF(OR(P$8="Homeflex 1",P$8="Homeflex 2", P$8="Homeflex 3",P$8="Homeflex 4"),(Homeflex_Total_Monthly_Energy),SPU_Total_Energy))*100,0)</f>
        <v>0</v>
      </c>
      <c r="R20" s="38">
        <f ca="1">IFERROR(Q20/P20-1,0)</f>
        <v>0</v>
      </c>
    </row>
    <row r="21" spans="2:18" ht="15" customHeight="1"/>
    <row r="22" spans="2:18" ht="3.9" customHeight="1"/>
    <row r="23" spans="2:18">
      <c r="B23" s="15" t="s">
        <v>212</v>
      </c>
      <c r="C23" s="15"/>
      <c r="D23" s="160" t="str">
        <f>Current_Period</f>
        <v>2025/26</v>
      </c>
      <c r="E23" s="160" t="str">
        <f>New_Period</f>
        <v>2026/27</v>
      </c>
      <c r="F23" s="15" t="s">
        <v>92</v>
      </c>
    </row>
    <row r="24" spans="2:18" ht="15" customHeight="1"/>
    <row r="25" spans="2:18" ht="28.8" customHeight="1">
      <c r="C25" s="195" t="str">
        <f ca="1">IF(D11&lt;&gt;E11,D11&amp;C72&amp;E11&amp;D72,IF(D8="",E2,D8))</f>
        <v>Businessrate 1</v>
      </c>
      <c r="D25" s="60">
        <f ca="1">D18</f>
        <v>1126.0250000000001</v>
      </c>
      <c r="E25" s="60">
        <f ca="1">E18</f>
        <v>1250.4291666666668</v>
      </c>
      <c r="F25" s="48">
        <f ca="1">IFERROR(E25/D25-1,0)</f>
        <v>0.11048082117774172</v>
      </c>
    </row>
    <row r="26" spans="2:18">
      <c r="C26" t="str">
        <f ca="1">H8</f>
        <v>Businessrate 1</v>
      </c>
      <c r="D26" s="53">
        <f ca="1">H18</f>
        <v>1126.0250000000001</v>
      </c>
      <c r="E26" s="53">
        <f ca="1">I18</f>
        <v>1250.4291666666668</v>
      </c>
      <c r="F26" s="25">
        <f ca="1">IFERROR(E26/D26-1,0)</f>
        <v>0.11048082117774172</v>
      </c>
    </row>
    <row r="27" spans="2:18">
      <c r="C27" t="str">
        <f ca="1">L8</f>
        <v>Homepower 4</v>
      </c>
      <c r="D27" s="53">
        <f ca="1">L18</f>
        <v>367.73749999999995</v>
      </c>
      <c r="E27" s="53">
        <f ca="1">M18</f>
        <v>472.37083333333339</v>
      </c>
      <c r="F27" s="25">
        <f ca="1">IFERROR(E27/D27-1,0)</f>
        <v>0.28453267162944607</v>
      </c>
    </row>
    <row r="28" spans="2:18">
      <c r="C28" t="str">
        <f ca="1">P8</f>
        <v>Businessrate 1</v>
      </c>
      <c r="D28" s="53">
        <f ca="1">P18</f>
        <v>1126.0250000000001</v>
      </c>
      <c r="E28" s="53">
        <f ca="1">Q18</f>
        <v>1250.4291666666668</v>
      </c>
      <c r="F28" s="25">
        <f ca="1">IFERROR(E28/D28-1,0)</f>
        <v>0.11048082117774172</v>
      </c>
    </row>
    <row r="29" spans="2:18"/>
    <row r="30" spans="2:18"/>
    <row r="31" spans="2:18"/>
    <row r="32" spans="2:18"/>
    <row r="33" spans="2:19">
      <c r="D33" s="22"/>
      <c r="E33" s="22"/>
    </row>
    <row r="34" spans="2:19">
      <c r="D34" s="22"/>
      <c r="E34" s="22"/>
    </row>
    <row r="35" spans="2:19">
      <c r="D35" s="203" t="str">
        <f>IF(Selected_Tariff_Category_ID=2,Inputs!G21,"")</f>
        <v/>
      </c>
      <c r="E35" s="203" t="str">
        <f>IF(Selected_Tariff_Category_ID=2,Selected_Base_Tariff,"")</f>
        <v/>
      </c>
      <c r="F35" s="203"/>
    </row>
    <row r="36" spans="2:19">
      <c r="D36" s="22"/>
      <c r="E36" s="22"/>
    </row>
    <row r="37" spans="2:19" ht="15">
      <c r="B37" s="1" t="s">
        <v>341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32" t="str">
        <f ca="1">'Monthly Average Bill'!I4</f>
        <v>Businessrate 1</v>
      </c>
      <c r="S37" s="1"/>
    </row>
    <row r="38" spans="2:19"/>
    <row r="39" spans="2:19">
      <c r="D39" s="44"/>
      <c r="E39" s="44"/>
      <c r="F39" s="44"/>
      <c r="H39" s="56">
        <v>3</v>
      </c>
      <c r="J39" s="161">
        <f ca="1">MATCH(H41,Full_Tariff_List,0)</f>
        <v>1</v>
      </c>
      <c r="L39" s="56">
        <v>5</v>
      </c>
      <c r="N39">
        <f ca="1">MATCH(L41,Full_Tariff_List,0)</f>
        <v>10</v>
      </c>
      <c r="P39" s="56">
        <v>7</v>
      </c>
      <c r="R39" s="161">
        <f ca="1">MATCH(P41,Full_Tariff_List,0)</f>
        <v>1</v>
      </c>
    </row>
    <row r="40" spans="2:19">
      <c r="D40" s="44"/>
      <c r="E40" s="44"/>
      <c r="F40" s="44"/>
    </row>
    <row r="41" spans="2:19" ht="8.4" customHeight="1">
      <c r="D41" s="189" t="str">
        <f ca="1">'Monthly Average Bill'!I4</f>
        <v>Businessrate 1</v>
      </c>
      <c r="E41" s="189"/>
      <c r="F41" s="189"/>
      <c r="H41" s="191" t="str">
        <f ca="1">IFERROR(INDEX(Compare_Tariff_List,Dropdown_Compare_1),$D$8)</f>
        <v>Businessrate 1</v>
      </c>
      <c r="I41" s="191"/>
      <c r="J41" s="191"/>
      <c r="K41" s="161"/>
      <c r="L41" s="191" t="str">
        <f ca="1">IFERROR(INDEX(Compare_Tariff_List,Dropdown_Compare_2),$D$8)</f>
        <v>Homepower 4</v>
      </c>
      <c r="M41" s="191"/>
      <c r="N41" s="191"/>
      <c r="O41" s="161"/>
      <c r="P41" s="191" t="str">
        <f ca="1">IFERROR(INDEX(Compare_Tariff_List,Dropdown_Compare_3),$D$8)</f>
        <v>Businessrate 1</v>
      </c>
      <c r="Q41" s="191"/>
      <c r="R41" s="191"/>
    </row>
    <row r="42" spans="2:19">
      <c r="D42" s="190" t="str">
        <f ca="1">IFERROR(INDEX(Compare_Long_Type,Selected_Compare_Tariff_ID),"")</f>
        <v>Commercial Urban</v>
      </c>
      <c r="E42" s="190"/>
      <c r="F42" s="190"/>
      <c r="H42" s="193" t="str">
        <f ca="1">IFERROR(INDEX(Compare_Long_Type,Dropdown_Compare_1),"")</f>
        <v>Commercial Urban</v>
      </c>
      <c r="I42" s="192"/>
      <c r="J42" s="52"/>
      <c r="K42" s="40"/>
      <c r="L42" s="52" t="str">
        <f ca="1">IFERROR(INDEX(Compare_Long_Type,Dropdown_Compare_2),"")</f>
        <v>Residential Urban</v>
      </c>
      <c r="M42" s="52"/>
      <c r="N42" s="52"/>
      <c r="O42" s="40"/>
      <c r="P42" s="52" t="str">
        <f ca="1">IFERROR(INDEX(Compare_Long_Type,Dropdown_Compare_3),"")</f>
        <v>Commercial Urban</v>
      </c>
      <c r="Q42" s="52"/>
      <c r="R42" s="52"/>
      <c r="S42" s="40"/>
    </row>
    <row r="43" spans="2:19">
      <c r="D43" s="190"/>
      <c r="E43" s="190"/>
      <c r="F43" s="190"/>
      <c r="H43" s="52"/>
      <c r="I43" s="52"/>
      <c r="J43" s="52"/>
      <c r="K43" s="40"/>
      <c r="L43" s="52"/>
      <c r="M43" s="52"/>
      <c r="N43" s="52"/>
      <c r="O43" s="40"/>
      <c r="P43" s="52"/>
      <c r="Q43" s="52"/>
      <c r="R43" s="52"/>
      <c r="S43" s="40"/>
    </row>
    <row r="44" spans="2:19" ht="30" customHeight="1">
      <c r="D44" s="194" t="str">
        <f ca="1">'Rates Table'!E2</f>
        <v>Businessrate 1</v>
      </c>
      <c r="E44" s="188" t="str">
        <f ca="1">Selected_Base_Tariff</f>
        <v>Businessrate 1</v>
      </c>
      <c r="F44" s="61"/>
      <c r="H44" s="225" t="str">
        <f ca="1">H41</f>
        <v>Businessrate 1</v>
      </c>
      <c r="I44" s="225"/>
      <c r="J44" s="52"/>
      <c r="K44" s="40"/>
      <c r="L44" s="225" t="str">
        <f ca="1">L41</f>
        <v>Homepower 4</v>
      </c>
      <c r="M44" s="225"/>
      <c r="N44" s="52"/>
      <c r="O44" s="40"/>
      <c r="P44" s="225" t="str">
        <f ca="1">P41</f>
        <v>Businessrate 1</v>
      </c>
      <c r="Q44" s="225"/>
      <c r="R44" s="52"/>
      <c r="S44" s="40"/>
    </row>
    <row r="45" spans="2:19">
      <c r="B45" s="15" t="s">
        <v>132</v>
      </c>
      <c r="C45" s="15"/>
      <c r="D45" s="160" t="str">
        <f>Current_Period</f>
        <v>2025/26</v>
      </c>
      <c r="E45" s="160" t="str">
        <f>New_Period</f>
        <v>2026/27</v>
      </c>
      <c r="F45" s="15" t="s">
        <v>92</v>
      </c>
      <c r="H45" s="160" t="str">
        <f>Current_Period</f>
        <v>2025/26</v>
      </c>
      <c r="I45" s="15" t="str">
        <f>New_Period</f>
        <v>2026/27</v>
      </c>
      <c r="J45" s="15" t="s">
        <v>92</v>
      </c>
      <c r="L45" s="160" t="str">
        <f>Current_Period</f>
        <v>2025/26</v>
      </c>
      <c r="M45" s="15" t="str">
        <f>New_Period</f>
        <v>2026/27</v>
      </c>
      <c r="N45" s="15" t="s">
        <v>92</v>
      </c>
      <c r="P45" s="160" t="str">
        <f>Current_Period</f>
        <v>2025/26</v>
      </c>
      <c r="Q45" s="15" t="str">
        <f>New_Period</f>
        <v>2026/27</v>
      </c>
      <c r="R45" s="15" t="s">
        <v>92</v>
      </c>
    </row>
    <row r="46" spans="2:19">
      <c r="D46" s="44"/>
      <c r="E46" s="44"/>
      <c r="F46" s="44"/>
    </row>
    <row r="47" spans="2:19">
      <c r="C47" t="s">
        <v>195</v>
      </c>
      <c r="D47" s="58">
        <f ca="1">'Monthly Average Bill'!M60</f>
        <v>618.67500000000007</v>
      </c>
      <c r="E47" s="58">
        <f ca="1">'Monthly Average Bill'!N60</f>
        <v>672.81666666666672</v>
      </c>
      <c r="F47" s="45">
        <f ca="1">IFERROR(E47/D47-1,0)</f>
        <v>8.7512291052114E-2</v>
      </c>
      <c r="H47" s="53">
        <f ca="1">IFERROR(SUMIFS(SPU_Network_Costs_Current,'Workings Low'!$F$7:$AI$7,J$6),"")</f>
        <v>618.67500000000007</v>
      </c>
      <c r="I47" s="53">
        <f ca="1">IFERROR(SUMIFS('Workings Low'!SPU_Network_Costs_New_Low,'Workings Low'!$F$7:$AI$7,J$6),"")</f>
        <v>672.81666666666672</v>
      </c>
      <c r="J47" s="25">
        <f ca="1">IFERROR(I47/H47-1,0)</f>
        <v>8.7512291052114E-2</v>
      </c>
      <c r="L47" s="53">
        <f ca="1">IFERROR(SUMIFS(SPU_Network_Costs_Current,'Workings Low'!$F$7:$AI$7,N$6),"")</f>
        <v>253.97916666666666</v>
      </c>
      <c r="M47" s="53">
        <f ca="1">IFERROR(SUMIFS('Workings Low'!SPU_Network_Costs_New_Low,'Workings Low'!$F$7:$AI$7,N$6),"")</f>
        <v>276.18333333333334</v>
      </c>
      <c r="N47" s="25">
        <f ca="1">IFERROR(M47/L47-1,0)</f>
        <v>8.7425149700598892E-2</v>
      </c>
      <c r="P47" s="53">
        <f ca="1">IFERROR(SUMIFS(SPU_Network_Costs_Current,'Workings Low'!$F$7:$AI$7,R$6),"")</f>
        <v>618.67500000000007</v>
      </c>
      <c r="Q47" s="53">
        <f ca="1">IFERROR(SUMIFS('Workings Low'!SPU_Network_Costs_New_Low,'Workings Low'!$F$7:$AI$7,R$6),"")</f>
        <v>672.81666666666672</v>
      </c>
      <c r="R47" s="25">
        <f ca="1">IFERROR(Q47/P47-1,0)</f>
        <v>8.7512291052114E-2</v>
      </c>
    </row>
    <row r="48" spans="2:19">
      <c r="C48" t="s">
        <v>196</v>
      </c>
      <c r="D48" s="58">
        <f ca="1">'Monthly Average Bill'!M61</f>
        <v>60.225000000000001</v>
      </c>
      <c r="E48" s="58">
        <f ca="1">'Monthly Average Bill'!N61</f>
        <v>91.25</v>
      </c>
      <c r="F48" s="45">
        <f ca="1">IFERROR(E48/D48-1,0)</f>
        <v>0.51515151515151514</v>
      </c>
      <c r="H48" s="53">
        <f ca="1">IFERROR(SUMIFS(SPU_Energy_Charges_Current,'Workings Low'!$F$7:$AI$7,J$6),"")</f>
        <v>60.225000000000001</v>
      </c>
      <c r="I48" s="53">
        <f ca="1">IFERROR(SUMIFS('Workings Low'!SPU_Energy_Charges_New_Low,'Workings Low'!$F$7:$AI$7,J$6),"")</f>
        <v>91.25</v>
      </c>
      <c r="J48" s="25">
        <f ca="1">IFERROR(I48/H48-1,0)</f>
        <v>0.51515151515151514</v>
      </c>
      <c r="L48" s="53">
        <f ca="1">IFERROR(SUMIFS(SPU_Energy_Charges_Current,'Workings Low'!$F$7:$AI$7,N$6),"")</f>
        <v>14.295833333333333</v>
      </c>
      <c r="M48" s="53">
        <f ca="1">IFERROR(SUMIFS('Workings Low'!SPU_Energy_Charges_New_Low,'Workings Low'!$F$7:$AI$7,N$6),"")</f>
        <v>21.595833333333331</v>
      </c>
      <c r="N48" s="25">
        <f ca="1">IFERROR(M48/L48-1,0)</f>
        <v>0.51063829787234027</v>
      </c>
      <c r="P48" s="53">
        <f ca="1">IFERROR(SUMIFS(SPU_Energy_Charges_Current,'Workings Low'!$F$7:$AI$7,R$6),"")</f>
        <v>60.225000000000001</v>
      </c>
      <c r="Q48" s="53">
        <f ca="1">IFERROR(SUMIFS('Workings Low'!SPU_Energy_Charges_New_Low,'Workings Low'!$F$7:$AI$7,R$6),"")</f>
        <v>91.25</v>
      </c>
      <c r="R48" s="25">
        <f ca="1">IFERROR(Q48/P48-1,0)</f>
        <v>0.51515151515151514</v>
      </c>
    </row>
    <row r="49" spans="2:18">
      <c r="C49" t="s">
        <v>197</v>
      </c>
      <c r="D49" s="58">
        <f ca="1">'Monthly Average Bill'!M62</f>
        <v>447.125</v>
      </c>
      <c r="E49" s="58">
        <f ca="1">'Monthly Average Bill'!N62</f>
        <v>486.36250000000001</v>
      </c>
      <c r="F49" s="45">
        <f ca="1">IFERROR(E49/D49-1,0)</f>
        <v>8.7755102040816269E-2</v>
      </c>
      <c r="H49" s="53">
        <f ca="1">IFERROR(SUMIFS(SPU_Other_Charges_Current,'Workings Low'!$F$7:$AI$7,J$6),"")</f>
        <v>447.125</v>
      </c>
      <c r="I49" s="53">
        <f ca="1">IFERROR(SUMIFS('Workings Low'!SPU_Other_Charges_NEw_Low,'Workings Low'!$F$7:$AI$7,J$6),"")</f>
        <v>486.36250000000001</v>
      </c>
      <c r="J49" s="25">
        <f ca="1">IFERROR(I49/H49-1,0)</f>
        <v>8.7755102040816269E-2</v>
      </c>
      <c r="L49" s="53">
        <f ca="1">IFERROR(SUMIFS(SPU_Other_Charges_Current,'Workings Low'!$F$7:$AI$7,N$6),"")</f>
        <v>99.462500000000006</v>
      </c>
      <c r="M49" s="53">
        <f ca="1">IFERROR(SUMIFS('Workings Low'!SPU_Other_Charges_NEw_Low,'Workings Low'!$F$7:$AI$7,N$6),"")</f>
        <v>174.59166666666667</v>
      </c>
      <c r="N49" s="25">
        <f ca="1">IFERROR(M49/L49-1,0)</f>
        <v>0.75535168195718638</v>
      </c>
      <c r="P49" s="53">
        <f ca="1">IFERROR(SUMIFS(SPU_Other_Charges_Current,'Workings Low'!$F$7:$AI$7,R$6),"")</f>
        <v>447.125</v>
      </c>
      <c r="Q49" s="53">
        <f ca="1">IFERROR(SUMIFS('Workings Low'!SPU_Other_Charges_NEw_Low,'Workings Low'!$F$7:$AI$7,R$6),"")</f>
        <v>486.36250000000001</v>
      </c>
      <c r="R49" s="25">
        <f ca="1">IFERROR(Q49/P49-1,0)</f>
        <v>8.7755102040816269E-2</v>
      </c>
    </row>
    <row r="50" spans="2:18">
      <c r="D50" s="44"/>
      <c r="E50" s="44"/>
      <c r="F50" s="44"/>
    </row>
    <row r="51" spans="2:18">
      <c r="C51" s="6" t="s">
        <v>14</v>
      </c>
      <c r="D51" s="59">
        <f ca="1">'Monthly Average Bill'!P50</f>
        <v>1126.0250000000001</v>
      </c>
      <c r="E51" s="59">
        <f ca="1">'Monthly Average Bill'!Q50</f>
        <v>1250.4291666666668</v>
      </c>
      <c r="F51" s="46">
        <f ca="1">IFERROR(E51/D51-1,0)</f>
        <v>0.11048082117774172</v>
      </c>
      <c r="H51" s="54">
        <f ca="1">SUM(H47:H49)</f>
        <v>1126.0250000000001</v>
      </c>
      <c r="I51" s="54">
        <f ca="1">SUM(I47:I49)</f>
        <v>1250.4291666666668</v>
      </c>
      <c r="J51" s="28">
        <f ca="1">IFERROR(I51/H51-1,0)</f>
        <v>0.11048082117774172</v>
      </c>
      <c r="L51" s="54">
        <f ca="1">SUM(L47:L49)</f>
        <v>367.73749999999995</v>
      </c>
      <c r="M51" s="54">
        <f ca="1">SUM(M47:M49)</f>
        <v>472.37083333333339</v>
      </c>
      <c r="N51" s="28">
        <f ca="1">IFERROR(M51/L51-1,0)</f>
        <v>0.28453267162944607</v>
      </c>
      <c r="P51" s="54">
        <f ca="1">SUM(P47:P49)</f>
        <v>1126.0250000000001</v>
      </c>
      <c r="Q51" s="54">
        <f ca="1">SUM(Q47:Q49)</f>
        <v>1250.4291666666668</v>
      </c>
      <c r="R51" s="28">
        <f ca="1">IFERROR(Q51/P51-1,0)</f>
        <v>0.11048082117774172</v>
      </c>
    </row>
    <row r="52" spans="2:18">
      <c r="D52" s="44"/>
      <c r="E52" s="44"/>
      <c r="F52" s="44"/>
    </row>
    <row r="53" spans="2:18">
      <c r="C53" s="2" t="s">
        <v>88</v>
      </c>
      <c r="D53" s="47">
        <f ca="1">'Monthly Average Bill'!P55</f>
        <v>0</v>
      </c>
      <c r="E53" s="47">
        <f ca="1">'Monthly Average Bill'!Q55</f>
        <v>0</v>
      </c>
      <c r="F53" s="48">
        <f ca="1">IFERROR(E53/D53-1,0)</f>
        <v>0</v>
      </c>
      <c r="H53" s="37">
        <f ca="1">IFERROR(H51/(IF(OR(H$41="Homeflex 1",H$41="Homeflex 2", H$41="Homeflex 3",H$41="Homeflex 4"),(Homeflex_Total_Monthly_Energy),SPU_Total_Energy))*100,0)</f>
        <v>0</v>
      </c>
      <c r="I53" s="37">
        <f ca="1">IFERROR(I51/(IF(OR(H$41="Homeflex 1",H$41="Homeflex 2", H$41="Homeflex 3",H$41="Homeflex 4"),(Homeflex_Total_Monthly_Energy),SPU_Total_Energy))*100,0)</f>
        <v>0</v>
      </c>
      <c r="J53" s="38">
        <f ca="1">IFERROR(I53/H53-1,0)</f>
        <v>0</v>
      </c>
      <c r="L53" s="37">
        <f ca="1">IFERROR(L51/(IF(OR(L$41="Homeflex 1",L$41="Homeflex 2", L$41="Homeflex 3",L$41="Homeflex 4"),(Homeflex_Total_Monthly_Energy),SPU_Total_Energy))*100,0)</f>
        <v>0</v>
      </c>
      <c r="M53" s="37">
        <f ca="1">IFERROR(M51/(IF(OR(L$41="Homeflex 1",L$41="Homeflex 2", L$41="Homeflex 3",L$41="Homeflex 4"),(Homeflex_Total_Monthly_Energy),SPU_Total_Energy))*100,0)</f>
        <v>0</v>
      </c>
      <c r="N53" s="38">
        <f ca="1">IFERROR(M53/L53-1,0)</f>
        <v>0</v>
      </c>
      <c r="P53" s="37">
        <f ca="1">IFERROR(P51/(IF(OR(P$41="Homeflex 1",P$41="Homeflex 2", P$41="Homeflex 3",P$41="Homeflex 4"),(Homeflex_Total_Monthly_Energy),SPU_Total_Energy))*100,0)</f>
        <v>0</v>
      </c>
      <c r="Q53" s="37">
        <f ca="1">IFERROR(Q51/(IF(OR(P$41="Homeflex 1",P$41="Homeflex 2", P$41="Homeflex 3",P$41="Homeflex 4"),(Homeflex_Total_Monthly_Energy),SPU_Total_Energy))*100,0)</f>
        <v>0</v>
      </c>
      <c r="R53" s="38">
        <f ca="1">IFERROR(Q53/P53-1,0)</f>
        <v>0</v>
      </c>
    </row>
    <row r="54" spans="2:18"/>
    <row r="55" spans="2:18"/>
    <row r="56" spans="2:18">
      <c r="B56" s="15" t="s">
        <v>212</v>
      </c>
      <c r="C56" s="15"/>
      <c r="D56" s="160" t="str">
        <f>Current_Period</f>
        <v>2025/26</v>
      </c>
      <c r="E56" s="160" t="str">
        <f>New_Period</f>
        <v>2026/27</v>
      </c>
      <c r="F56" s="15" t="s">
        <v>92</v>
      </c>
    </row>
    <row r="57" spans="2:18"/>
    <row r="58" spans="2:18" ht="28.8" customHeight="1">
      <c r="C58" s="195" t="str">
        <f ca="1">(IF(D11&lt;&gt;E11,D11&amp;C72&amp;E11&amp;D72,IF(D41="",E35,D41)))</f>
        <v>Businessrate 1</v>
      </c>
      <c r="D58" s="60">
        <f ca="1">D51</f>
        <v>1126.0250000000001</v>
      </c>
      <c r="E58" s="60">
        <f ca="1">E51</f>
        <v>1250.4291666666668</v>
      </c>
      <c r="F58" s="48">
        <f ca="1">IFERROR(E58/D58-1,0)</f>
        <v>0.11048082117774172</v>
      </c>
    </row>
    <row r="59" spans="2:18">
      <c r="C59" t="str">
        <f ca="1">H41</f>
        <v>Businessrate 1</v>
      </c>
      <c r="D59" s="53">
        <f ca="1">H51</f>
        <v>1126.0250000000001</v>
      </c>
      <c r="E59" s="53">
        <f ca="1">I51</f>
        <v>1250.4291666666668</v>
      </c>
      <c r="F59" s="25">
        <f ca="1">IFERROR(E59/D59-1,0)</f>
        <v>0.11048082117774172</v>
      </c>
    </row>
    <row r="60" spans="2:18">
      <c r="C60" t="str">
        <f ca="1">L41</f>
        <v>Homepower 4</v>
      </c>
      <c r="D60" s="53">
        <f ca="1">L51</f>
        <v>367.73749999999995</v>
      </c>
      <c r="E60" s="53">
        <f ca="1">M51</f>
        <v>472.37083333333339</v>
      </c>
      <c r="F60" s="25">
        <f ca="1">IFERROR(E60/D60-1,0)</f>
        <v>0.28453267162944607</v>
      </c>
    </row>
    <row r="61" spans="2:18">
      <c r="C61" t="str">
        <f ca="1">P41</f>
        <v>Businessrate 1</v>
      </c>
      <c r="D61" s="53">
        <f ca="1">P51</f>
        <v>1126.0250000000001</v>
      </c>
      <c r="E61" s="53">
        <f ca="1">Q51</f>
        <v>1250.4291666666668</v>
      </c>
      <c r="F61" s="25">
        <f ca="1">IFERROR(E61/D61-1,0)</f>
        <v>0.11048082117774172</v>
      </c>
    </row>
    <row r="62" spans="2:18"/>
    <row r="63" spans="2:18"/>
    <row r="64" spans="2:18"/>
    <row r="65" spans="3:5"/>
    <row r="66" spans="3:5">
      <c r="D66" s="22"/>
      <c r="E66" s="22"/>
    </row>
    <row r="67" spans="3:5">
      <c r="D67" s="22"/>
      <c r="E67" s="22"/>
    </row>
    <row r="68" spans="3:5">
      <c r="D68" s="22"/>
      <c r="E68" s="22"/>
    </row>
    <row r="69" spans="3:5">
      <c r="D69" s="22"/>
      <c r="E69" s="22"/>
    </row>
    <row r="70" spans="3:5">
      <c r="D70" s="22"/>
      <c r="E70" s="22"/>
    </row>
    <row r="71" spans="3:5">
      <c r="D71" s="22"/>
      <c r="E71" s="22"/>
    </row>
    <row r="72" spans="3:5">
      <c r="C72" s="161" t="s">
        <v>407</v>
      </c>
      <c r="D72" s="161" t="s">
        <v>408</v>
      </c>
      <c r="E72" s="22"/>
    </row>
    <row r="73" spans="3:5">
      <c r="D73" s="22"/>
      <c r="E73" s="22"/>
    </row>
    <row r="74" spans="3:5">
      <c r="D74" s="22"/>
      <c r="E74" s="22"/>
    </row>
    <row r="75" spans="3:5">
      <c r="D75" s="22"/>
      <c r="E75" s="22"/>
    </row>
    <row r="76" spans="3:5">
      <c r="D76" s="22"/>
      <c r="E76" s="22"/>
    </row>
    <row r="77" spans="3:5">
      <c r="D77" s="22"/>
      <c r="E77" s="22"/>
    </row>
    <row r="78" spans="3:5">
      <c r="D78" s="22"/>
      <c r="E78" s="22"/>
    </row>
    <row r="79" spans="3:5">
      <c r="D79" s="22"/>
      <c r="E79" s="22"/>
    </row>
    <row r="80" spans="3:5">
      <c r="D80" s="22"/>
      <c r="E80" s="22"/>
    </row>
    <row r="81" spans="4:5">
      <c r="D81" s="22"/>
      <c r="E81" s="22"/>
    </row>
    <row r="82" spans="4:5">
      <c r="D82" s="22"/>
      <c r="E82" s="22"/>
    </row>
    <row r="83" spans="4:5">
      <c r="D83" s="22"/>
      <c r="E83" s="22"/>
    </row>
    <row r="84" spans="4:5">
      <c r="D84" s="22"/>
      <c r="E84" s="22"/>
    </row>
    <row r="85" spans="4:5">
      <c r="D85" s="22"/>
      <c r="E85" s="22"/>
    </row>
    <row r="86" spans="4:5">
      <c r="D86" s="22"/>
      <c r="E86" s="22"/>
    </row>
    <row r="87" spans="4:5">
      <c r="D87" s="22"/>
      <c r="E87" s="22"/>
    </row>
    <row r="88" spans="4:5">
      <c r="D88" s="22"/>
      <c r="E88" s="22"/>
    </row>
    <row r="89" spans="4:5">
      <c r="D89" s="22"/>
      <c r="E89" s="22"/>
    </row>
    <row r="90" spans="4:5">
      <c r="D90" s="22"/>
      <c r="E90" s="22"/>
    </row>
    <row r="91" spans="4:5">
      <c r="D91" s="22"/>
      <c r="E91" s="22"/>
    </row>
    <row r="92" spans="4:5">
      <c r="D92" s="22"/>
      <c r="E92" s="22"/>
    </row>
    <row r="93" spans="4:5">
      <c r="D93" s="22"/>
      <c r="E93" s="22"/>
    </row>
    <row r="94" spans="4:5">
      <c r="D94" s="22"/>
      <c r="E94" s="22"/>
    </row>
    <row r="95" spans="4:5">
      <c r="D95" s="22"/>
      <c r="E95" s="22"/>
    </row>
    <row r="96" spans="4:5">
      <c r="D96" s="22"/>
      <c r="E96" s="22"/>
    </row>
    <row r="97" spans="4:5">
      <c r="D97" s="22"/>
      <c r="E97" s="22"/>
    </row>
    <row r="98" spans="4:5">
      <c r="D98" s="22"/>
      <c r="E98" s="22"/>
    </row>
    <row r="99" spans="4:5">
      <c r="D99" s="22"/>
      <c r="E99" s="22"/>
    </row>
    <row r="100" spans="4:5">
      <c r="D100" s="22"/>
      <c r="E100" s="22"/>
    </row>
    <row r="101" spans="4:5">
      <c r="D101" s="22"/>
      <c r="E101" s="22"/>
    </row>
    <row r="102" spans="4:5">
      <c r="D102" s="22"/>
      <c r="E102" s="22"/>
    </row>
    <row r="103" spans="4:5">
      <c r="D103" s="22"/>
      <c r="E103" s="22"/>
    </row>
    <row r="104" spans="4:5">
      <c r="D104" s="22"/>
      <c r="E104" s="22"/>
    </row>
    <row r="105" spans="4:5">
      <c r="D105" s="22"/>
      <c r="E105" s="22"/>
    </row>
    <row r="106" spans="4:5">
      <c r="D106" s="22"/>
      <c r="E106" s="22"/>
    </row>
    <row r="107" spans="4:5">
      <c r="D107" s="22"/>
      <c r="E107" s="22"/>
    </row>
    <row r="108" spans="4:5"/>
    <row r="111" spans="4:5"/>
    <row r="113" spans="3:3"/>
    <row r="114" spans="3:3" hidden="1">
      <c r="C114" s="2" t="s">
        <v>151</v>
      </c>
    </row>
    <row r="115" spans="3:3" hidden="1">
      <c r="C115" t="s">
        <v>205</v>
      </c>
    </row>
    <row r="116" spans="3:3" hidden="1">
      <c r="C116" t="s">
        <v>204</v>
      </c>
    </row>
    <row r="117" spans="3:3"/>
  </sheetData>
  <sheetProtection algorithmName="SHA-512" hashValue="DxplLpbmYO9z0Am3ff7HMN/Udg4+4yqzLXV82Kpm14oTnpewMVwrgfZm7VvvSoBerTnVKHN+RgtcB4ZL2LTGBA==" saltValue="+XgydyXjcXh3iEU3BpFwNw==" spinCount="100000" sheet="1" objects="1" scenarios="1"/>
  <mergeCells count="7">
    <mergeCell ref="P5:Q5"/>
    <mergeCell ref="H44:I44"/>
    <mergeCell ref="L44:M44"/>
    <mergeCell ref="H11:I11"/>
    <mergeCell ref="L11:M11"/>
    <mergeCell ref="P11:Q11"/>
    <mergeCell ref="P44:Q44"/>
  </mergeCells>
  <pageMargins left="0.7" right="0.7" top="0.75" bottom="0.75" header="0.3" footer="0.3"/>
  <pageSetup paperSize="9" scale="8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Drop Down 1">
              <controlPr defaultSize="0" autoLine="0" autoPict="0">
                <anchor moveWithCells="1">
                  <from>
                    <xdr:col>7</xdr:col>
                    <xdr:colOff>22860</xdr:colOff>
                    <xdr:row>5</xdr:row>
                    <xdr:rowOff>7620</xdr:rowOff>
                  </from>
                  <to>
                    <xdr:col>9</xdr:col>
                    <xdr:colOff>403860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Drop Down 2">
              <controlPr defaultSize="0" autoLine="0" autoPict="0">
                <anchor moveWithCells="1">
                  <from>
                    <xdr:col>11</xdr:col>
                    <xdr:colOff>22860</xdr:colOff>
                    <xdr:row>5</xdr:row>
                    <xdr:rowOff>7620</xdr:rowOff>
                  </from>
                  <to>
                    <xdr:col>13</xdr:col>
                    <xdr:colOff>579120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Drop Down 3">
              <controlPr defaultSize="0" autoLine="0" autoPict="0">
                <anchor moveWithCells="1">
                  <from>
                    <xdr:col>15</xdr:col>
                    <xdr:colOff>22860</xdr:colOff>
                    <xdr:row>5</xdr:row>
                    <xdr:rowOff>7620</xdr:rowOff>
                  </from>
                  <to>
                    <xdr:col>17</xdr:col>
                    <xdr:colOff>251460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Drop Down 4">
              <controlPr defaultSize="0" autoLine="0" autoPict="0">
                <anchor moveWithCells="1">
                  <from>
                    <xdr:col>7</xdr:col>
                    <xdr:colOff>22860</xdr:colOff>
                    <xdr:row>38</xdr:row>
                    <xdr:rowOff>7620</xdr:rowOff>
                  </from>
                  <to>
                    <xdr:col>9</xdr:col>
                    <xdr:colOff>60960</xdr:colOff>
                    <xdr:row>39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Drop Down 5">
              <controlPr defaultSize="0" autoLine="0" autoPict="0">
                <anchor moveWithCells="1">
                  <from>
                    <xdr:col>11</xdr:col>
                    <xdr:colOff>22860</xdr:colOff>
                    <xdr:row>38</xdr:row>
                    <xdr:rowOff>7620</xdr:rowOff>
                  </from>
                  <to>
                    <xdr:col>13</xdr:col>
                    <xdr:colOff>579120</xdr:colOff>
                    <xdr:row>39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Drop Down 6">
              <controlPr defaultSize="0" autoLine="0" autoPict="0">
                <anchor moveWithCells="1">
                  <from>
                    <xdr:col>15</xdr:col>
                    <xdr:colOff>22860</xdr:colOff>
                    <xdr:row>38</xdr:row>
                    <xdr:rowOff>7620</xdr:rowOff>
                  </from>
                  <to>
                    <xdr:col>17</xdr:col>
                    <xdr:colOff>152400</xdr:colOff>
                    <xdr:row>39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9">
    <pageSetUpPr fitToPage="1"/>
  </sheetPr>
  <dimension ref="A1:O81"/>
  <sheetViews>
    <sheetView showGridLines="0" zoomScaleNormal="100" workbookViewId="0">
      <pane ySplit="5" topLeftCell="A6" activePane="bottomLeft" state="frozen"/>
      <selection activeCell="L8" sqref="L8"/>
      <selection pane="bottomLeft" activeCell="A6" sqref="A6"/>
    </sheetView>
  </sheetViews>
  <sheetFormatPr defaultColWidth="0" defaultRowHeight="0" customHeight="1" zeroHeight="1"/>
  <cols>
    <col min="1" max="3" width="2.85546875" customWidth="1"/>
    <col min="4" max="4" width="20.7109375" customWidth="1"/>
    <col min="5" max="5" width="13.7109375" bestFit="1" customWidth="1"/>
    <col min="6" max="6" width="3.140625" customWidth="1"/>
    <col min="7" max="13" width="15.85546875" customWidth="1"/>
    <col min="14" max="15" width="9.28515625" customWidth="1"/>
    <col min="16" max="16384" width="9.28515625" hidden="1"/>
  </cols>
  <sheetData>
    <row r="1" spans="1:14" ht="3.9" customHeight="1"/>
    <row r="2" spans="1:14" ht="33" customHeight="1">
      <c r="I2" s="63"/>
    </row>
    <row r="3" spans="1:14" ht="3.9" customHeight="1"/>
    <row r="4" spans="1:14" ht="15">
      <c r="B4" s="1" t="s">
        <v>215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2"/>
    <row r="6" spans="1:14" ht="12.6" thickBot="1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2.6" thickTop="1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</row>
    <row r="8" spans="1:14" ht="12" customHeight="1">
      <c r="A8" s="62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</row>
    <row r="9" spans="1:14" ht="12" customHeight="1">
      <c r="A9" s="62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</row>
    <row r="10" spans="1:14" ht="12" customHeight="1">
      <c r="A10" s="6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</row>
    <row r="11" spans="1:14" ht="12" customHeight="1">
      <c r="A11" s="6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ht="12" customHeight="1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</row>
    <row r="13" spans="1:14" ht="12" customHeight="1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</row>
    <row r="14" spans="1:14" ht="12" customHeight="1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</row>
    <row r="15" spans="1:14" ht="12" customHeight="1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</row>
    <row r="16" spans="1:14" ht="12" customHeight="1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ht="12" customHeight="1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</row>
    <row r="18" spans="1:14" ht="12" customHeight="1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</row>
    <row r="19" spans="1:14" ht="12" customHeight="1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</row>
    <row r="20" spans="1:14" ht="12" customHeight="1">
      <c r="A20" s="62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</row>
    <row r="21" spans="1:14" ht="12" customHeight="1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ht="12" customHeight="1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</row>
    <row r="23" spans="1:14" ht="12" customHeight="1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</row>
    <row r="24" spans="1:14" ht="12" customHeight="1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</row>
    <row r="25" spans="1:14" ht="12" customHeight="1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</row>
    <row r="26" spans="1:14" ht="12" customHeight="1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ht="12" customHeight="1">
      <c r="A27" s="62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</row>
    <row r="28" spans="1:14" ht="12" customHeight="1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</row>
    <row r="29" spans="1:14" ht="12" customHeight="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</row>
    <row r="30" spans="1:14" ht="12" customHeight="1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</row>
    <row r="31" spans="1:14" ht="12" customHeight="1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ht="12" customHeight="1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</row>
    <row r="33" spans="1:14" ht="12" customHeight="1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</row>
    <row r="34" spans="1:14" ht="12" customHeight="1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</row>
    <row r="35" spans="1:14" ht="12" customHeight="1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</row>
    <row r="36" spans="1:14" ht="12" customHeight="1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ht="12" customHeight="1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</row>
    <row r="38" spans="1:14" ht="12" customHeight="1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</row>
    <row r="39" spans="1:14" ht="12" customHeight="1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</row>
    <row r="40" spans="1:14" ht="12" customHeight="1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</row>
    <row r="41" spans="1:14" ht="12" customHeight="1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</row>
    <row r="42" spans="1:14" ht="12" customHeight="1">
      <c r="A42" s="6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</row>
    <row r="43" spans="1:14" ht="12" customHeight="1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</row>
    <row r="44" spans="1:14" ht="12" customHeight="1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</row>
    <row r="45" spans="1:14" ht="12" customHeight="1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</row>
    <row r="46" spans="1:14" ht="12" customHeigh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</row>
    <row r="47" spans="1:14" ht="12" customHeight="1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</row>
    <row r="48" spans="1:14" ht="12" customHeight="1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</row>
    <row r="49" spans="1:14" ht="12" customHeight="1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</row>
    <row r="50" spans="1:14" ht="12" customHeight="1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</row>
    <row r="51" spans="1:14" ht="12" customHeight="1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</row>
    <row r="52" spans="1:14" ht="12" customHeight="1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</row>
    <row r="53" spans="1:14" ht="12" customHeight="1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</row>
    <row r="54" spans="1:14" ht="12" customHeight="1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</row>
    <row r="55" spans="1:14" ht="12" customHeight="1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</row>
    <row r="56" spans="1:14" ht="12" customHeight="1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</row>
    <row r="57" spans="1:14" ht="12" customHeight="1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</row>
    <row r="58" spans="1:14" ht="12" customHeight="1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</row>
    <row r="59" spans="1:14" ht="12" customHeight="1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</row>
    <row r="60" spans="1:14" ht="12" hidden="1" customHeight="1"/>
    <row r="61" spans="1:14" ht="12" hidden="1" customHeight="1"/>
    <row r="62" spans="1:14" ht="12" hidden="1" customHeight="1"/>
    <row r="63" spans="1:14" ht="12" hidden="1" customHeight="1"/>
    <row r="64" spans="1:14" ht="12" hidden="1" customHeight="1"/>
    <row r="65" ht="12" hidden="1" customHeight="1"/>
    <row r="66" ht="12" hidden="1" customHeight="1"/>
    <row r="67" ht="12" hidden="1" customHeight="1"/>
    <row r="68" ht="12" hidden="1" customHeight="1"/>
    <row r="69" ht="12" hidden="1" customHeight="1"/>
    <row r="70" ht="12" hidden="1" customHeight="1"/>
    <row r="71" ht="12" hidden="1" customHeight="1"/>
    <row r="72" ht="12" hidden="1" customHeight="1"/>
    <row r="73" ht="12" hidden="1" customHeight="1"/>
    <row r="74" ht="12" hidden="1" customHeight="1"/>
    <row r="75" ht="12" hidden="1" customHeight="1"/>
    <row r="76" ht="12" hidden="1" customHeight="1"/>
    <row r="77" ht="12" hidden="1" customHeight="1"/>
    <row r="78" ht="12" hidden="1" customHeight="1"/>
    <row r="79" ht="12" hidden="1" customHeight="1"/>
    <row r="80" ht="12" hidden="1" customHeight="1"/>
    <row r="81" ht="12" hidden="1" customHeight="1"/>
  </sheetData>
  <sheetProtection algorithmName="SHA-512" hashValue="MiZweAWtFoxX4UPKUkLuvRBfOZpAMWpw4P/regFDwqGSvkYuwyj5E/+il9wihL+0KemSuNTi6XS+qa0GCvctSg==" saltValue="i4EtCwaQRlLfe4WF9ZS6ng==" spinCount="100000" sheet="1" objects="1" scenarios="1"/>
  <pageMargins left="0.7" right="0.7" top="0.75" bottom="0.75" header="0.3" footer="0.3"/>
  <pageSetup paperSize="9" scale="9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BO62"/>
  <sheetViews>
    <sheetView showGridLines="0" zoomScale="85" zoomScaleNormal="85" workbookViewId="0">
      <pane xSplit="4" ySplit="8" topLeftCell="E9" activePane="bottomRight" state="frozen"/>
      <selection activeCell="F63" sqref="F63"/>
      <selection pane="topRight" activeCell="F63" sqref="F63"/>
      <selection pane="bottomLeft" activeCell="F63" sqref="F63"/>
      <selection pane="bottomRight" activeCell="P12" sqref="P12"/>
    </sheetView>
  </sheetViews>
  <sheetFormatPr defaultColWidth="9.28515625" defaultRowHeight="12"/>
  <cols>
    <col min="1" max="2" width="2.85546875" customWidth="1"/>
    <col min="3" max="3" width="35.42578125" bestFit="1" customWidth="1"/>
    <col min="4" max="4" width="19.85546875" bestFit="1" customWidth="1"/>
    <col min="5" max="35" width="16" customWidth="1"/>
    <col min="37" max="68" width="16" customWidth="1"/>
  </cols>
  <sheetData>
    <row r="1" spans="2:67" ht="3.9" customHeight="1"/>
    <row r="2" spans="2:67" ht="33" customHeight="1">
      <c r="E2" t="str">
        <f ca="1">Inputs!G21</f>
        <v>Businessrate 1</v>
      </c>
      <c r="F2">
        <f ca="1">MATCH(E2,Full_Tariff_List,0)</f>
        <v>1</v>
      </c>
    </row>
    <row r="3" spans="2:67" ht="3.9" customHeight="1"/>
    <row r="4" spans="2:67" ht="15">
      <c r="B4" s="1" t="s">
        <v>128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</row>
    <row r="6" spans="2:67" ht="39.6">
      <c r="B6" s="36" t="s">
        <v>28</v>
      </c>
      <c r="C6" s="26"/>
      <c r="D6" s="26"/>
      <c r="E6" s="35" t="str">
        <f ca="1">E2</f>
        <v>Businessrate 1</v>
      </c>
      <c r="F6" s="35" t="str">
        <f t="shared" ref="F6:AI6" si="0">INDEX(Full_Tariff_List,F$7,)</f>
        <v>Businessrate 1</v>
      </c>
      <c r="G6" s="35" t="str">
        <f t="shared" si="0"/>
        <v>Businessrate 2</v>
      </c>
      <c r="H6" s="35" t="str">
        <f t="shared" si="0"/>
        <v>Businessrate 3</v>
      </c>
      <c r="I6" s="35" t="str">
        <f t="shared" si="0"/>
        <v>Businessrate 4</v>
      </c>
      <c r="J6" s="35" t="str">
        <f t="shared" si="0"/>
        <v>Homelight 20A</v>
      </c>
      <c r="K6" s="35" t="str">
        <f t="shared" si="0"/>
        <v>Homelight 60A</v>
      </c>
      <c r="L6" s="35" t="str">
        <f t="shared" si="0"/>
        <v>Homepower 1</v>
      </c>
      <c r="M6" s="35" t="str">
        <f t="shared" si="0"/>
        <v>Homepower 2</v>
      </c>
      <c r="N6" s="35" t="str">
        <f t="shared" si="0"/>
        <v>Homepower 3</v>
      </c>
      <c r="O6" s="35" t="str">
        <f t="shared" si="0"/>
        <v>Homepower 4</v>
      </c>
      <c r="P6" s="35" t="str">
        <f t="shared" si="0"/>
        <v>Homepower Bulk</v>
      </c>
      <c r="Q6" s="35" t="str">
        <f t="shared" si="0"/>
        <v>Landrate 1</v>
      </c>
      <c r="R6" s="35" t="str">
        <f t="shared" si="0"/>
        <v>Landrate 2</v>
      </c>
      <c r="S6" s="35" t="str">
        <f t="shared" si="0"/>
        <v>Landrate 3</v>
      </c>
      <c r="T6" s="35" t="str">
        <f t="shared" si="0"/>
        <v>Landrate 4</v>
      </c>
      <c r="U6" s="35" t="str">
        <f t="shared" si="0"/>
        <v>Landrate Dx</v>
      </c>
      <c r="V6" s="35" t="str">
        <f t="shared" si="0"/>
        <v>Landlight 20A</v>
      </c>
      <c r="W6" s="35" t="str">
        <f t="shared" si="0"/>
        <v>Landlight 60A</v>
      </c>
      <c r="X6" s="35" t="str">
        <f t="shared" si="0"/>
        <v>Public Lighting All Night</v>
      </c>
      <c r="Y6" s="35" t="str">
        <f t="shared" si="0"/>
        <v>Public Lighting 24 Hours</v>
      </c>
      <c r="Z6" s="35" t="str">
        <f t="shared" si="0"/>
        <v>Public Lighting Urban Fixed</v>
      </c>
      <c r="AA6" s="35" t="str">
        <f t="shared" si="0"/>
        <v>Municflex</v>
      </c>
      <c r="AB6" s="35" t="str">
        <f t="shared" si="0"/>
        <v>Municrate 1</v>
      </c>
      <c r="AC6" s="35" t="str">
        <f t="shared" si="0"/>
        <v>Municrate 2</v>
      </c>
      <c r="AD6" s="35" t="str">
        <f t="shared" si="0"/>
        <v>Municrate 3</v>
      </c>
      <c r="AE6" s="35" t="str">
        <f t="shared" si="0"/>
        <v>Municrate 4</v>
      </c>
      <c r="AF6" s="35" t="str">
        <f t="shared" si="0"/>
        <v>Homeflex 1</v>
      </c>
      <c r="AG6" s="35" t="str">
        <f t="shared" si="0"/>
        <v>Homeflex 2</v>
      </c>
      <c r="AH6" s="35" t="str">
        <f t="shared" si="0"/>
        <v>Homeflex 3</v>
      </c>
      <c r="AI6" s="35" t="str">
        <f t="shared" si="0"/>
        <v>Homeflex 4</v>
      </c>
      <c r="AK6" s="35" t="str">
        <f ca="1">Selected_Base_Tariff</f>
        <v>Businessrate 1</v>
      </c>
      <c r="AL6" s="35" t="str">
        <f t="shared" ref="AL6:BK6" si="1">F6</f>
        <v>Businessrate 1</v>
      </c>
      <c r="AM6" s="35" t="str">
        <f t="shared" si="1"/>
        <v>Businessrate 2</v>
      </c>
      <c r="AN6" s="35" t="str">
        <f t="shared" si="1"/>
        <v>Businessrate 3</v>
      </c>
      <c r="AO6" s="35" t="str">
        <f t="shared" si="1"/>
        <v>Businessrate 4</v>
      </c>
      <c r="AP6" s="35" t="str">
        <f t="shared" si="1"/>
        <v>Homelight 20A</v>
      </c>
      <c r="AQ6" s="35" t="str">
        <f t="shared" si="1"/>
        <v>Homelight 60A</v>
      </c>
      <c r="AR6" s="35" t="str">
        <f t="shared" si="1"/>
        <v>Homepower 1</v>
      </c>
      <c r="AS6" s="35" t="str">
        <f t="shared" si="1"/>
        <v>Homepower 2</v>
      </c>
      <c r="AT6" s="35" t="str">
        <f t="shared" si="1"/>
        <v>Homepower 3</v>
      </c>
      <c r="AU6" s="35" t="str">
        <f t="shared" si="1"/>
        <v>Homepower 4</v>
      </c>
      <c r="AV6" s="35" t="str">
        <f t="shared" si="1"/>
        <v>Homepower Bulk</v>
      </c>
      <c r="AW6" s="35" t="str">
        <f t="shared" si="1"/>
        <v>Landrate 1</v>
      </c>
      <c r="AX6" s="35" t="str">
        <f t="shared" si="1"/>
        <v>Landrate 2</v>
      </c>
      <c r="AY6" s="35" t="str">
        <f t="shared" si="1"/>
        <v>Landrate 3</v>
      </c>
      <c r="AZ6" s="35" t="str">
        <f t="shared" si="1"/>
        <v>Landrate 4</v>
      </c>
      <c r="BA6" s="35" t="str">
        <f t="shared" si="1"/>
        <v>Landrate Dx</v>
      </c>
      <c r="BB6" s="35" t="str">
        <f t="shared" si="1"/>
        <v>Landlight 20A</v>
      </c>
      <c r="BC6" s="35" t="str">
        <f t="shared" si="1"/>
        <v>Landlight 60A</v>
      </c>
      <c r="BD6" s="35" t="str">
        <f t="shared" si="1"/>
        <v>Public Lighting All Night</v>
      </c>
      <c r="BE6" s="35" t="str">
        <f t="shared" si="1"/>
        <v>Public Lighting 24 Hours</v>
      </c>
      <c r="BF6" s="35" t="str">
        <f t="shared" si="1"/>
        <v>Public Lighting Urban Fixed</v>
      </c>
      <c r="BG6" s="35" t="str">
        <f t="shared" si="1"/>
        <v>Municflex</v>
      </c>
      <c r="BH6" s="35" t="str">
        <f t="shared" si="1"/>
        <v>Municrate 1</v>
      </c>
      <c r="BI6" s="35" t="str">
        <f t="shared" si="1"/>
        <v>Municrate 2</v>
      </c>
      <c r="BJ6" s="35" t="str">
        <f t="shared" si="1"/>
        <v>Municrate 3</v>
      </c>
      <c r="BK6" s="35" t="str">
        <f t="shared" si="1"/>
        <v>Municrate 4</v>
      </c>
      <c r="BL6" s="35" t="str">
        <f>AF6</f>
        <v>Homeflex 1</v>
      </c>
      <c r="BM6" s="35" t="str">
        <f>AG6</f>
        <v>Homeflex 2</v>
      </c>
      <c r="BN6" s="35" t="str">
        <f>AH6</f>
        <v>Homeflex 3</v>
      </c>
      <c r="BO6" s="35" t="str">
        <f>AI6</f>
        <v>Homeflex 4</v>
      </c>
    </row>
    <row r="7" spans="2:67">
      <c r="E7">
        <f ca="1">F2</f>
        <v>1</v>
      </c>
      <c r="F7">
        <v>1</v>
      </c>
      <c r="G7">
        <f>F7+1</f>
        <v>2</v>
      </c>
      <c r="H7">
        <f t="shared" ref="H7:T7" si="2">G7+1</f>
        <v>3</v>
      </c>
      <c r="I7">
        <f t="shared" si="2"/>
        <v>4</v>
      </c>
      <c r="J7">
        <f t="shared" si="2"/>
        <v>5</v>
      </c>
      <c r="K7">
        <f t="shared" si="2"/>
        <v>6</v>
      </c>
      <c r="L7">
        <f t="shared" si="2"/>
        <v>7</v>
      </c>
      <c r="M7">
        <f t="shared" si="2"/>
        <v>8</v>
      </c>
      <c r="N7">
        <f t="shared" si="2"/>
        <v>9</v>
      </c>
      <c r="O7">
        <f t="shared" si="2"/>
        <v>10</v>
      </c>
      <c r="P7">
        <f t="shared" si="2"/>
        <v>11</v>
      </c>
      <c r="Q7">
        <f t="shared" si="2"/>
        <v>12</v>
      </c>
      <c r="R7">
        <f t="shared" si="2"/>
        <v>13</v>
      </c>
      <c r="S7">
        <f t="shared" si="2"/>
        <v>14</v>
      </c>
      <c r="T7">
        <f t="shared" si="2"/>
        <v>15</v>
      </c>
      <c r="U7">
        <f t="shared" ref="U7:Z7" si="3">T7+1</f>
        <v>16</v>
      </c>
      <c r="V7">
        <f t="shared" si="3"/>
        <v>17</v>
      </c>
      <c r="W7">
        <f t="shared" si="3"/>
        <v>18</v>
      </c>
      <c r="X7">
        <f t="shared" si="3"/>
        <v>19</v>
      </c>
      <c r="Y7">
        <f t="shared" si="3"/>
        <v>20</v>
      </c>
      <c r="Z7">
        <f t="shared" si="3"/>
        <v>21</v>
      </c>
      <c r="AA7">
        <v>28</v>
      </c>
      <c r="AB7">
        <f t="shared" ref="AB7" si="4">AA7+1</f>
        <v>29</v>
      </c>
      <c r="AC7">
        <f t="shared" ref="AC7" si="5">AB7+1</f>
        <v>30</v>
      </c>
      <c r="AD7">
        <f t="shared" ref="AD7:AE7" si="6">AC7+1</f>
        <v>31</v>
      </c>
      <c r="AE7">
        <f t="shared" si="6"/>
        <v>32</v>
      </c>
      <c r="AF7">
        <v>33</v>
      </c>
      <c r="AG7">
        <f>AF7+1</f>
        <v>34</v>
      </c>
      <c r="AH7">
        <f>AG7+1</f>
        <v>35</v>
      </c>
      <c r="AI7">
        <f>AH7+1</f>
        <v>36</v>
      </c>
      <c r="AL7">
        <f>F7</f>
        <v>1</v>
      </c>
      <c r="AM7">
        <f t="shared" ref="AM7:BK7" si="7">G7</f>
        <v>2</v>
      </c>
      <c r="AN7">
        <f t="shared" si="7"/>
        <v>3</v>
      </c>
      <c r="AO7">
        <f t="shared" si="7"/>
        <v>4</v>
      </c>
      <c r="AP7">
        <f t="shared" si="7"/>
        <v>5</v>
      </c>
      <c r="AQ7">
        <f t="shared" si="7"/>
        <v>6</v>
      </c>
      <c r="AR7">
        <f t="shared" si="7"/>
        <v>7</v>
      </c>
      <c r="AS7">
        <f t="shared" si="7"/>
        <v>8</v>
      </c>
      <c r="AT7">
        <f t="shared" si="7"/>
        <v>9</v>
      </c>
      <c r="AU7">
        <f t="shared" si="7"/>
        <v>10</v>
      </c>
      <c r="AV7">
        <f t="shared" si="7"/>
        <v>11</v>
      </c>
      <c r="AW7">
        <f t="shared" si="7"/>
        <v>12</v>
      </c>
      <c r="AX7">
        <f t="shared" si="7"/>
        <v>13</v>
      </c>
      <c r="AY7">
        <f t="shared" si="7"/>
        <v>14</v>
      </c>
      <c r="AZ7">
        <f t="shared" si="7"/>
        <v>15</v>
      </c>
      <c r="BA7">
        <f t="shared" si="7"/>
        <v>16</v>
      </c>
      <c r="BB7">
        <f t="shared" si="7"/>
        <v>17</v>
      </c>
      <c r="BC7">
        <f t="shared" si="7"/>
        <v>18</v>
      </c>
      <c r="BD7">
        <f t="shared" si="7"/>
        <v>19</v>
      </c>
      <c r="BE7">
        <f t="shared" si="7"/>
        <v>20</v>
      </c>
      <c r="BF7">
        <f t="shared" si="7"/>
        <v>21</v>
      </c>
      <c r="BG7">
        <f t="shared" si="7"/>
        <v>28</v>
      </c>
      <c r="BH7">
        <f t="shared" si="7"/>
        <v>29</v>
      </c>
      <c r="BI7">
        <f t="shared" si="7"/>
        <v>30</v>
      </c>
      <c r="BJ7">
        <f t="shared" si="7"/>
        <v>31</v>
      </c>
      <c r="BK7">
        <f t="shared" si="7"/>
        <v>32</v>
      </c>
      <c r="BL7">
        <f t="shared" ref="BL7" si="8">AF7</f>
        <v>33</v>
      </c>
      <c r="BM7">
        <f t="shared" ref="BM7" si="9">AG7</f>
        <v>34</v>
      </c>
      <c r="BN7">
        <f t="shared" ref="BN7" si="10">AH7</f>
        <v>35</v>
      </c>
      <c r="BO7">
        <f t="shared" ref="BO7" si="11">AI7</f>
        <v>36</v>
      </c>
    </row>
    <row r="8" spans="2:67" ht="22.8">
      <c r="B8" s="17" t="s">
        <v>76</v>
      </c>
      <c r="C8" s="17"/>
      <c r="D8" s="16" t="s">
        <v>81</v>
      </c>
      <c r="E8" s="16" t="str">
        <f t="shared" ref="E8:AI8" si="12">Current_Period&amp;" Rates"</f>
        <v>2025/26 Rates</v>
      </c>
      <c r="F8" s="16" t="str">
        <f t="shared" si="12"/>
        <v>2025/26 Rates</v>
      </c>
      <c r="G8" s="16" t="str">
        <f t="shared" si="12"/>
        <v>2025/26 Rates</v>
      </c>
      <c r="H8" s="16" t="str">
        <f t="shared" si="12"/>
        <v>2025/26 Rates</v>
      </c>
      <c r="I8" s="16" t="str">
        <f t="shared" si="12"/>
        <v>2025/26 Rates</v>
      </c>
      <c r="J8" s="16" t="str">
        <f t="shared" si="12"/>
        <v>2025/26 Rates</v>
      </c>
      <c r="K8" s="16" t="str">
        <f t="shared" si="12"/>
        <v>2025/26 Rates</v>
      </c>
      <c r="L8" s="16" t="str">
        <f t="shared" si="12"/>
        <v>2025/26 Rates</v>
      </c>
      <c r="M8" s="16" t="str">
        <f t="shared" si="12"/>
        <v>2025/26 Rates</v>
      </c>
      <c r="N8" s="16" t="str">
        <f t="shared" si="12"/>
        <v>2025/26 Rates</v>
      </c>
      <c r="O8" s="16" t="str">
        <f t="shared" si="12"/>
        <v>2025/26 Rates</v>
      </c>
      <c r="P8" s="16" t="str">
        <f t="shared" si="12"/>
        <v>2025/26 Rates</v>
      </c>
      <c r="Q8" s="16" t="str">
        <f t="shared" si="12"/>
        <v>2025/26 Rates</v>
      </c>
      <c r="R8" s="16" t="str">
        <f t="shared" si="12"/>
        <v>2025/26 Rates</v>
      </c>
      <c r="S8" s="16" t="str">
        <f t="shared" si="12"/>
        <v>2025/26 Rates</v>
      </c>
      <c r="T8" s="16" t="str">
        <f t="shared" si="12"/>
        <v>2025/26 Rates</v>
      </c>
      <c r="U8" s="16" t="str">
        <f t="shared" si="12"/>
        <v>2025/26 Rates</v>
      </c>
      <c r="V8" s="16" t="str">
        <f t="shared" si="12"/>
        <v>2025/26 Rates</v>
      </c>
      <c r="W8" s="16" t="str">
        <f t="shared" si="12"/>
        <v>2025/26 Rates</v>
      </c>
      <c r="X8" s="16" t="str">
        <f t="shared" si="12"/>
        <v>2025/26 Rates</v>
      </c>
      <c r="Y8" s="16" t="str">
        <f t="shared" si="12"/>
        <v>2025/26 Rates</v>
      </c>
      <c r="Z8" s="16" t="str">
        <f t="shared" si="12"/>
        <v>2025/26 Rates</v>
      </c>
      <c r="AA8" s="16" t="str">
        <f t="shared" si="12"/>
        <v>2025/26 Rates</v>
      </c>
      <c r="AB8" s="16" t="str">
        <f t="shared" si="12"/>
        <v>2025/26 Rates</v>
      </c>
      <c r="AC8" s="16" t="str">
        <f t="shared" si="12"/>
        <v>2025/26 Rates</v>
      </c>
      <c r="AD8" s="16" t="str">
        <f t="shared" si="12"/>
        <v>2025/26 Rates</v>
      </c>
      <c r="AE8" s="16" t="str">
        <f t="shared" si="12"/>
        <v>2025/26 Rates</v>
      </c>
      <c r="AF8" s="16" t="str">
        <f t="shared" si="12"/>
        <v>2025/26 Rates</v>
      </c>
      <c r="AG8" s="16" t="str">
        <f t="shared" si="12"/>
        <v>2025/26 Rates</v>
      </c>
      <c r="AH8" s="16" t="str">
        <f t="shared" si="12"/>
        <v>2025/26 Rates</v>
      </c>
      <c r="AI8" s="16" t="str">
        <f t="shared" si="12"/>
        <v>2025/26 Rates</v>
      </c>
      <c r="AK8" s="16" t="str">
        <f>New_Period&amp;" Rates"</f>
        <v>2026/27 Rates</v>
      </c>
      <c r="AL8" s="16" t="str">
        <f>AK8</f>
        <v>2026/27 Rates</v>
      </c>
      <c r="AM8" s="16" t="str">
        <f t="shared" ref="AM8:AZ8" si="13">AL8</f>
        <v>2026/27 Rates</v>
      </c>
      <c r="AN8" s="16" t="str">
        <f t="shared" si="13"/>
        <v>2026/27 Rates</v>
      </c>
      <c r="AO8" s="16" t="str">
        <f t="shared" si="13"/>
        <v>2026/27 Rates</v>
      </c>
      <c r="AP8" s="16" t="str">
        <f t="shared" si="13"/>
        <v>2026/27 Rates</v>
      </c>
      <c r="AQ8" s="16" t="str">
        <f t="shared" si="13"/>
        <v>2026/27 Rates</v>
      </c>
      <c r="AR8" s="16" t="str">
        <f t="shared" si="13"/>
        <v>2026/27 Rates</v>
      </c>
      <c r="AS8" s="16" t="str">
        <f t="shared" si="13"/>
        <v>2026/27 Rates</v>
      </c>
      <c r="AT8" s="16" t="str">
        <f t="shared" si="13"/>
        <v>2026/27 Rates</v>
      </c>
      <c r="AU8" s="16" t="str">
        <f t="shared" si="13"/>
        <v>2026/27 Rates</v>
      </c>
      <c r="AV8" s="16" t="str">
        <f t="shared" si="13"/>
        <v>2026/27 Rates</v>
      </c>
      <c r="AW8" s="16" t="str">
        <f t="shared" si="13"/>
        <v>2026/27 Rates</v>
      </c>
      <c r="AX8" s="16" t="str">
        <f t="shared" si="13"/>
        <v>2026/27 Rates</v>
      </c>
      <c r="AY8" s="16" t="str">
        <f t="shared" si="13"/>
        <v>2026/27 Rates</v>
      </c>
      <c r="AZ8" s="16" t="str">
        <f t="shared" si="13"/>
        <v>2026/27 Rates</v>
      </c>
      <c r="BA8" s="16" t="str">
        <f t="shared" ref="BA8:BO8" si="14">AZ8</f>
        <v>2026/27 Rates</v>
      </c>
      <c r="BB8" s="16" t="str">
        <f t="shared" si="14"/>
        <v>2026/27 Rates</v>
      </c>
      <c r="BC8" s="16" t="str">
        <f t="shared" si="14"/>
        <v>2026/27 Rates</v>
      </c>
      <c r="BD8" s="16" t="str">
        <f t="shared" si="14"/>
        <v>2026/27 Rates</v>
      </c>
      <c r="BE8" s="16" t="str">
        <f t="shared" si="14"/>
        <v>2026/27 Rates</v>
      </c>
      <c r="BF8" s="16" t="str">
        <f t="shared" si="14"/>
        <v>2026/27 Rates</v>
      </c>
      <c r="BG8" s="16" t="str">
        <f t="shared" ref="BG8" si="15">BF8</f>
        <v>2026/27 Rates</v>
      </c>
      <c r="BH8" s="16" t="str">
        <f t="shared" ref="BH8" si="16">BG8</f>
        <v>2026/27 Rates</v>
      </c>
      <c r="BI8" s="16" t="str">
        <f t="shared" ref="BI8" si="17">BH8</f>
        <v>2026/27 Rates</v>
      </c>
      <c r="BJ8" s="16" t="str">
        <f t="shared" ref="BJ8:BK8" si="18">BI8</f>
        <v>2026/27 Rates</v>
      </c>
      <c r="BK8" s="16" t="str">
        <f t="shared" si="18"/>
        <v>2026/27 Rates</v>
      </c>
      <c r="BL8" s="16" t="str">
        <f>BE8</f>
        <v>2026/27 Rates</v>
      </c>
      <c r="BM8" s="16" t="str">
        <f t="shared" si="14"/>
        <v>2026/27 Rates</v>
      </c>
      <c r="BN8" s="16" t="str">
        <f t="shared" si="14"/>
        <v>2026/27 Rates</v>
      </c>
      <c r="BO8" s="16" t="str">
        <f t="shared" si="14"/>
        <v>2026/27 Rates</v>
      </c>
    </row>
    <row r="9" spans="2:67" ht="3.9" customHeight="1"/>
    <row r="10" spans="2:67">
      <c r="C10" t="s">
        <v>75</v>
      </c>
      <c r="D10" s="21" t="s">
        <v>80</v>
      </c>
      <c r="E10" s="39">
        <f ca="1">SUMIFS(F10:AI10,$F$7:$AI$7,$F$2)</f>
        <v>14.54</v>
      </c>
      <c r="F10" s="18">
        <f>INDEX(Rates_AllOther_Current[Network demand charge '[c/kWh']],MATCH(F$40,Rates_AllOther_Current[Code],0))</f>
        <v>14.54</v>
      </c>
      <c r="G10" s="18">
        <f>INDEX(Rates_AllOther_Current[Network demand charge '[c/kWh']],MATCH(G$40,Rates_AllOther_Current[Code],0))</f>
        <v>14.54</v>
      </c>
      <c r="H10" s="18">
        <f>INDEX(Rates_AllOther_Current[Network demand charge '[c/kWh']],MATCH(H$40,Rates_AllOther_Current[Code],0))</f>
        <v>14.54</v>
      </c>
      <c r="I10" s="18">
        <f>INDEX(Rates_AllOther_Current[Network demand charge '[c/kWh']],MATCH(I$40,Rates_AllOther_Current[Code],0))</f>
        <v>14.54</v>
      </c>
      <c r="J10" s="18">
        <f>INDEX(Rates_AllOther_Current[Network demand charge '[c/kWh']],MATCH(J$40,Rates_AllOther_Current[Code],0))</f>
        <v>0</v>
      </c>
      <c r="K10" s="18">
        <f>INDEX(Rates_AllOther_Current[Network demand charge '[c/kWh']],MATCH(K$40,Rates_AllOther_Current[Code],0))</f>
        <v>0</v>
      </c>
      <c r="L10" s="18">
        <f>INDEX(Rates_AllOther_Current[Network demand charge '[c/kWh']],MATCH(L$40,Rates_AllOther_Current[Code],0))</f>
        <v>26.37</v>
      </c>
      <c r="M10" s="18">
        <f>INDEX(Rates_AllOther_Current[Network demand charge '[c/kWh']],MATCH(M$40,Rates_AllOther_Current[Code],0))</f>
        <v>26.37</v>
      </c>
      <c r="N10" s="18">
        <f>INDEX(Rates_AllOther_Current[Network demand charge '[c/kWh']],MATCH(N$40,Rates_AllOther_Current[Code],0))</f>
        <v>26.37</v>
      </c>
      <c r="O10" s="18">
        <f>INDEX(Rates_AllOther_Current[Network demand charge '[c/kWh']],MATCH(O$40,Rates_AllOther_Current[Code],0))</f>
        <v>26.37</v>
      </c>
      <c r="P10" s="18">
        <f>INDEX(Rates_AllOther_Current[Network demand charge '[c/kWh']],MATCH(P$40,Rates_AllOther_Current[Code],0))</f>
        <v>26.37</v>
      </c>
      <c r="Q10" s="18">
        <f>INDEX(Rates_AllOther_Current[Network demand charge '[c/kWh']],MATCH(Q$40,Rates_AllOther_Current[Code],0))</f>
        <v>61.66</v>
      </c>
      <c r="R10" s="18">
        <f>INDEX(Rates_AllOther_Current[Network demand charge '[c/kWh']],MATCH(R$40,Rates_AllOther_Current[Code],0))</f>
        <v>61.66</v>
      </c>
      <c r="S10" s="18">
        <f>INDEX(Rates_AllOther_Current[Network demand charge '[c/kWh']],MATCH(S$40,Rates_AllOther_Current[Code],0))</f>
        <v>61.66</v>
      </c>
      <c r="T10" s="18">
        <f>INDEX(Rates_AllOther_Current[Network demand charge '[c/kWh']],MATCH(T$40,Rates_AllOther_Current[Code],0))</f>
        <v>61.66</v>
      </c>
      <c r="U10" s="18">
        <f>INDEX(Rates_AllOther_Current[Network demand charge '[c/kWh']],MATCH(U$40,Rates_AllOther_Current[Code],0))</f>
        <v>0</v>
      </c>
      <c r="V10" s="18">
        <f>INDEX(Rates_AllOther_Current[Network demand charge '[c/kWh']],MATCH(V$40,Rates_AllOther_Current[Code],0))</f>
        <v>0</v>
      </c>
      <c r="W10" s="18">
        <f>INDEX(Rates_AllOther_Current[Network demand charge '[c/kWh']],MATCH(W$40,Rates_AllOther_Current[Code],0))</f>
        <v>0</v>
      </c>
      <c r="X10" s="18">
        <f>INDEX(Rates_AllOther_Current[Network demand charge '[c/kWh']],MATCH(X$40,Rates_AllOther_Current[Code],0))</f>
        <v>0</v>
      </c>
      <c r="Y10" s="18">
        <f>INDEX(Rates_AllOther_Current[Network demand charge '[c/kWh']],MATCH(Y$40,Rates_AllOther_Current[Code],0))</f>
        <v>0</v>
      </c>
      <c r="Z10" s="18">
        <f>INDEX(Rates_AllOther_Current[Network demand charge '[c/kWh']],MATCH(Z$40,Rates_AllOther_Current[Code],0))</f>
        <v>0</v>
      </c>
      <c r="AA10" s="18"/>
      <c r="AB10" s="18" t="e">
        <f>INDEX(Rates_AllOther_Current[Network demand charge '[c/kWh']],MATCH(AB$40,Rates_AllOther_Current[Code],0))</f>
        <v>#N/A</v>
      </c>
      <c r="AC10" s="18" t="e">
        <f>INDEX(Rates_AllOther_Current[Network demand charge '[c/kWh']],MATCH(AC$40,Rates_AllOther_Current[Code],0))</f>
        <v>#N/A</v>
      </c>
      <c r="AD10" s="18" t="e">
        <f>INDEX(Rates_AllOther_Current[Network demand charge '[c/kWh']],MATCH(AD$40,Rates_AllOther_Current[Code],0))</f>
        <v>#N/A</v>
      </c>
      <c r="AE10" s="18" t="e">
        <f>INDEX(Rates_AllOther_Current[Network demand charge '[c/kWh']],MATCH(AE$40,Rates_AllOther_Current[Code],0))</f>
        <v>#N/A</v>
      </c>
      <c r="AF10" s="18">
        <f>INDEX(Rates_AllOther_Current[Network demand charge '[c/kWh']],MATCH(AF$40,Rates_AllOther_Current[Code],0))</f>
        <v>26.37</v>
      </c>
      <c r="AG10" s="18">
        <f>INDEX(Rates_AllOther_Current[Network demand charge '[c/kWh']],MATCH(AG$40,Rates_AllOther_Current[Code],0))</f>
        <v>26.37</v>
      </c>
      <c r="AH10" s="18">
        <f>INDEX(Rates_AllOther_Current[Network demand charge '[c/kWh']],MATCH(AH$40,Rates_AllOther_Current[Code],0))</f>
        <v>26.37</v>
      </c>
      <c r="AI10" s="18">
        <f>INDEX(Rates_AllOther_Current[Network demand charge '[c/kWh']],MATCH(AI$40,Rates_AllOther_Current[Code],0))</f>
        <v>26.37</v>
      </c>
      <c r="AK10" s="39">
        <f ca="1">SUMIFS(AL10:BO10,$AL$7:$BO$7,Selected_Tariff_ID)</f>
        <v>15.81</v>
      </c>
      <c r="AL10" s="18">
        <f>INDEX(Rates_AllOther_New[Network demand charge '[c/kWh']],MATCH(AL$40,Rates_AllOther_New[Code],0))</f>
        <v>15.81</v>
      </c>
      <c r="AM10" s="18">
        <f>INDEX(Rates_AllOther_New[Network demand charge '[c/kWh']],MATCH(AM$40,Rates_AllOther_New[Code],0))</f>
        <v>15.81</v>
      </c>
      <c r="AN10" s="18">
        <f>INDEX(Rates_AllOther_New[Network demand charge '[c/kWh']],MATCH(AN$40,Rates_AllOther_New[Code],0))</f>
        <v>15.81</v>
      </c>
      <c r="AO10" s="18">
        <f>INDEX(Rates_AllOther_New[Network demand charge '[c/kWh']],MATCH(AO$40,Rates_AllOther_New[Code],0))</f>
        <v>15.81</v>
      </c>
      <c r="AP10" s="18">
        <f>INDEX(Rates_AllOther_New[Network demand charge '[c/kWh']],MATCH(AP$40,Rates_AllOther_New[Code],0))</f>
        <v>0</v>
      </c>
      <c r="AQ10" s="18">
        <f>INDEX(Rates_AllOther_New[Network demand charge '[c/kWh']],MATCH(AQ$40,Rates_AllOther_New[Code],0))</f>
        <v>0</v>
      </c>
      <c r="AR10" s="18">
        <f>INDEX(Rates_AllOther_New[Network demand charge '[c/kWh']],MATCH(AR$40,Rates_AllOther_New[Code],0))</f>
        <v>28.68</v>
      </c>
      <c r="AS10" s="18">
        <f>INDEX(Rates_AllOther_New[Network demand charge '[c/kWh']],MATCH(AS$40,Rates_AllOther_New[Code],0))</f>
        <v>28.68</v>
      </c>
      <c r="AT10" s="18">
        <f>INDEX(Rates_AllOther_New[Network demand charge '[c/kWh']],MATCH(AT$40,Rates_AllOther_New[Code],0))</f>
        <v>28.68</v>
      </c>
      <c r="AU10" s="18">
        <f>INDEX(Rates_AllOther_New[Network demand charge '[c/kWh']],MATCH(AU$40,Rates_AllOther_New[Code],0))</f>
        <v>28.68</v>
      </c>
      <c r="AV10" s="18">
        <f>INDEX(Rates_AllOther_New[Network demand charge '[c/kWh']],MATCH(AV$40,Rates_AllOther_New[Code],0))</f>
        <v>28.68</v>
      </c>
      <c r="AW10" s="18">
        <f>INDEX(Rates_AllOther_New[Network demand charge '[c/kWh']],MATCH(AW$40,Rates_AllOther_New[Code],0))</f>
        <v>67.06</v>
      </c>
      <c r="AX10" s="18">
        <f>INDEX(Rates_AllOther_New[Network demand charge '[c/kWh']],MATCH(AX$40,Rates_AllOther_New[Code],0))</f>
        <v>67.06</v>
      </c>
      <c r="AY10" s="18">
        <f>INDEX(Rates_AllOther_New[Network demand charge '[c/kWh']],MATCH(AY$40,Rates_AllOther_New[Code],0))</f>
        <v>67.06</v>
      </c>
      <c r="AZ10" s="18">
        <f>INDEX(Rates_AllOther_New[Network demand charge '[c/kWh']],MATCH(AZ$40,Rates_AllOther_New[Code],0))</f>
        <v>67.06</v>
      </c>
      <c r="BA10" s="18">
        <f>INDEX(Rates_AllOther_New[Network demand charge '[c/kWh']],MATCH(BA$40,Rates_AllOther_New[Code],0))</f>
        <v>0</v>
      </c>
      <c r="BB10" s="18">
        <f>INDEX(Rates_AllOther_New[Network demand charge '[c/kWh']],MATCH(BB$40,Rates_AllOther_New[Code],0))</f>
        <v>0</v>
      </c>
      <c r="BC10" s="18">
        <f>INDEX(Rates_AllOther_New[Network demand charge '[c/kWh']],MATCH(BC$40,Rates_AllOther_New[Code],0))</f>
        <v>0</v>
      </c>
      <c r="BD10" s="18">
        <f>INDEX(Rates_AllOther_New[Network demand charge '[c/kWh']],MATCH(BD$40,Rates_AllOther_New[Code],0))</f>
        <v>0</v>
      </c>
      <c r="BE10" s="18">
        <f>INDEX(Rates_AllOther_New[Network demand charge '[c/kWh']],MATCH(BE$40,Rates_AllOther_New[Code],0))</f>
        <v>0</v>
      </c>
      <c r="BF10" s="18">
        <f>INDEX(Rates_AllOther_New[Network demand charge '[c/kWh']],MATCH(BF$40,Rates_AllOther_New[Code],0))</f>
        <v>0</v>
      </c>
      <c r="BG10" s="18"/>
      <c r="BH10" s="18" t="e">
        <f>INDEX(Rates_AllOther_New[Network demand charge '[c/kWh']],MATCH(BH$40,Rates_AllOther_New[Code],0))</f>
        <v>#N/A</v>
      </c>
      <c r="BI10" s="18" t="e">
        <f>INDEX(Rates_AllOther_New[Network demand charge '[c/kWh']],MATCH(BI$40,Rates_AllOther_New[Code],0))</f>
        <v>#N/A</v>
      </c>
      <c r="BJ10" s="18" t="e">
        <f>INDEX(Rates_AllOther_New[Network demand charge '[c/kWh']],MATCH(BJ$40,Rates_AllOther_New[Code],0))</f>
        <v>#N/A</v>
      </c>
      <c r="BK10" s="18" t="e">
        <f>INDEX(Rates_AllOther_New[Network demand charge '[c/kWh']],MATCH(BK$40,Rates_AllOther_New[Code],0))</f>
        <v>#N/A</v>
      </c>
      <c r="BL10" s="18">
        <f>INDEX(Rates_AllOther_New[Network demand charge '[c/kWh']],MATCH(BL$40,Rates_AllOther_New[Code],0))</f>
        <v>28.68</v>
      </c>
      <c r="BM10" s="18">
        <f>INDEX(Rates_AllOther_New[Network demand charge '[c/kWh']],MATCH(BM$40,Rates_AllOther_New[Code],0))</f>
        <v>28.68</v>
      </c>
      <c r="BN10" s="18">
        <f>INDEX(Rates_AllOther_New[Network demand charge '[c/kWh']],MATCH(BN$40,Rates_AllOther_New[Code],0))</f>
        <v>28.68</v>
      </c>
      <c r="BO10" s="18">
        <f>INDEX(Rates_AllOther_New[Network demand charge '[c/kWh']],MATCH(BO$40,Rates_AllOther_New[Code],0))</f>
        <v>28.68</v>
      </c>
    </row>
    <row r="11" spans="2:67" ht="24">
      <c r="C11" s="133" t="s">
        <v>331</v>
      </c>
      <c r="D11" s="21" t="s">
        <v>80</v>
      </c>
      <c r="E11" s="39">
        <f ca="1">SUMIFS(F11:AI11,$F$7:$AI$7,$F$2)</f>
        <v>0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 t="str">
        <f>INDEX(Rates_AllOther_Current[Network demand charge, Ancillary service charge and retail '[c/kWh']],MATCH(AF$40,Rates_AllOther_Current[Code],0))</f>
        <v>n/a</v>
      </c>
      <c r="AG11" s="18" t="str">
        <f>INDEX(Rates_AllOther_Current[Network demand charge, Ancillary service charge and retail '[c/kWh']],MATCH(AG$40,Rates_AllOther_Current[Code],0))</f>
        <v>n/a</v>
      </c>
      <c r="AH11" s="18" t="str">
        <f>INDEX(Rates_AllOther_Current[Network demand charge, Ancillary service charge and retail '[c/kWh']],MATCH(AH$40,Rates_AllOther_Current[Code],0))</f>
        <v>n/a</v>
      </c>
      <c r="AI11" s="18" t="str">
        <f>INDEX(Rates_AllOther_Current[Network demand charge, Ancillary service charge and retail '[c/kWh']],MATCH(AI$40,Rates_AllOther_Current[Code],0))</f>
        <v>n/a</v>
      </c>
      <c r="AK11" s="39">
        <f ca="1">SUMIFS(AL11:BO11,$AL$7:$BO$7,Selected_Tariff_ID)</f>
        <v>0</v>
      </c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 t="s">
        <v>324</v>
      </c>
      <c r="BI11" s="18"/>
      <c r="BJ11" s="18"/>
      <c r="BK11" s="18"/>
      <c r="BL11" s="18">
        <f>INDEX(Rates_AllOther_New[Network demand charge, Ancillary service charge and retail '[c/kWh']],MATCH(BL$40,Rates_AllOther_New[Code],0))</f>
        <v>0</v>
      </c>
      <c r="BM11" s="18">
        <f>INDEX(Rates_AllOther_New[Network demand charge, Ancillary service charge and retail '[c/kWh']],MATCH(BM$40,Rates_AllOther_New[Code],0))</f>
        <v>0</v>
      </c>
      <c r="BN11" s="18">
        <f>INDEX(Rates_AllOther_New[Network demand charge, Ancillary service charge and retail '[c/kWh']],MATCH(BN$40,Rates_AllOther_New[Code],0))</f>
        <v>0</v>
      </c>
      <c r="BO11" s="18">
        <f>INDEX(Rates_AllOther_New[Network demand charge, Ancillary service charge and retail '[c/kWh']],MATCH(BO$40,Rates_AllOther_New[Code],0))</f>
        <v>0</v>
      </c>
    </row>
    <row r="12" spans="2:67">
      <c r="C12" t="s">
        <v>254</v>
      </c>
      <c r="D12" s="21" t="str">
        <f ca="1">IF(Table_1=1,"R/kVA","R/day")</f>
        <v>R/day</v>
      </c>
      <c r="E12" s="39">
        <f ca="1">SUMIFS(F12:AI12,$F$7:$AI$7,$F$2)</f>
        <v>20.34</v>
      </c>
      <c r="F12" s="18">
        <f>INDEX(Rates_AllOther_Current[Network capacity charge '[R/POD/day']],MATCH(F$40,Rates_AllOther_Current[Code],0))</f>
        <v>20.34</v>
      </c>
      <c r="G12" s="18">
        <f>INDEX(Rates_AllOther_Current[Network capacity charge '[R/POD/day']],MATCH(G$40,Rates_AllOther_Current[Code],0))</f>
        <v>30.21</v>
      </c>
      <c r="H12" s="18">
        <f>INDEX(Rates_AllOther_Current[Network capacity charge '[R/POD/day']],MATCH(H$40,Rates_AllOther_Current[Code],0))</f>
        <v>75.38</v>
      </c>
      <c r="I12" s="18">
        <f>INDEX(Rates_AllOther_Current[Network capacity charge '[R/POD/day']],MATCH(I$40,Rates_AllOther_Current[Code],0))</f>
        <v>0</v>
      </c>
      <c r="J12" s="18">
        <f>INDEX(Rates_AllOther_Current[Network capacity charge '[R/POD/day']],MATCH(J$40,Rates_AllOther_Current[Code],0))</f>
        <v>0</v>
      </c>
      <c r="K12" s="18">
        <f>INDEX(Rates_AllOther_Current[Network capacity charge '[R/POD/day']],MATCH(K$40,Rates_AllOther_Current[Code],0))</f>
        <v>0</v>
      </c>
      <c r="L12" s="18">
        <f>INDEX(Rates_AllOther_Current[Network capacity charge '[R/POD/day']],MATCH(L$40,Rates_AllOther_Current[Code],0))</f>
        <v>12.13</v>
      </c>
      <c r="M12" s="18">
        <f>INDEX(Rates_AllOther_Current[Network capacity charge '[R/POD/day']],MATCH(M$40,Rates_AllOther_Current[Code],0))</f>
        <v>27.07</v>
      </c>
      <c r="N12" s="18">
        <f>INDEX(Rates_AllOther_Current[Network capacity charge '[R/POD/day']],MATCH(N$40,Rates_AllOther_Current[Code],0))</f>
        <v>57.82</v>
      </c>
      <c r="O12" s="18">
        <f>INDEX(Rates_AllOther_Current[Network capacity charge '[R/POD/day']],MATCH(O$40,Rates_AllOther_Current[Code],0))</f>
        <v>8.35</v>
      </c>
      <c r="P12" s="18">
        <f>INDEX(Rates_AllOther_Current[Network capacity charge '[R/POD/day']],MATCH(P$40,Rates_AllOther_Current[Code],0))</f>
        <v>55.32</v>
      </c>
      <c r="Q12" s="18">
        <f>INDEX(Rates_AllOther_Current[Network capacity charge '[R/POD/day']],MATCH(Q$40,Rates_AllOther_Current[Code],0))</f>
        <v>62.2</v>
      </c>
      <c r="R12" s="18">
        <f>INDEX(Rates_AllOther_Current[Network capacity charge '[R/POD/day']],MATCH(R$40,Rates_AllOther_Current[Code],0))</f>
        <v>96.99</v>
      </c>
      <c r="S12" s="18">
        <f>INDEX(Rates_AllOther_Current[Network capacity charge '[R/POD/day']],MATCH(S$40,Rates_AllOther_Current[Code],0))</f>
        <v>155.32</v>
      </c>
      <c r="T12" s="18">
        <f>INDEX(Rates_AllOther_Current[Network capacity charge '[R/POD/day']],MATCH(T$40,Rates_AllOther_Current[Code],0))</f>
        <v>45.92</v>
      </c>
      <c r="U12" s="18">
        <f>INDEX(Rates_AllOther_Current[Network capacity charge '[R/POD/day']],MATCH(U$40,Rates_AllOther_Current[Code],0))</f>
        <v>0</v>
      </c>
      <c r="V12" s="18">
        <f>INDEX(Rates_AllOther_Current[Network capacity charge '[R/POD/day']],MATCH(V$40,Rates_AllOther_Current[Code],0))</f>
        <v>0</v>
      </c>
      <c r="W12" s="18">
        <f>INDEX(Rates_AllOther_Current[Network capacity charge '[R/POD/day']],MATCH(W$40,Rates_AllOther_Current[Code],0))</f>
        <v>0</v>
      </c>
      <c r="X12" s="18">
        <f>INDEX(Rates_AllOther_Current[Network capacity charge '[R/POD/day']],MATCH(X$40,Rates_AllOther_Current[Code],0))</f>
        <v>0</v>
      </c>
      <c r="Y12" s="18">
        <f>INDEX(Rates_AllOther_Current[Network capacity charge '[R/POD/day']],MATCH(Y$40,Rates_AllOther_Current[Code],0))</f>
        <v>0</v>
      </c>
      <c r="Z12" s="18">
        <f>INDEX(Rates_AllOther_Current[Network capacity charge '[R/POD/day']],MATCH(Z$40,Rates_AllOther_Current[Code],0))</f>
        <v>0</v>
      </c>
      <c r="AA12" s="18"/>
      <c r="AB12" s="18" t="e">
        <f>INDEX(Rates_AllOther_Current[Network capacity charge '[R/POD/day']],MATCH(AB$40,Rates_AllOther_Current[Code],0))</f>
        <v>#N/A</v>
      </c>
      <c r="AC12" s="18" t="e">
        <f>INDEX(Rates_AllOther_Current[Network capacity charge '[R/POD/day']],MATCH(AC$40,Rates_AllOther_Current[Code],0))</f>
        <v>#N/A</v>
      </c>
      <c r="AD12" s="18" t="e">
        <f>INDEX(Rates_AllOther_Current[Network capacity charge '[R/POD/day']],MATCH(AD$40,Rates_AllOther_Current[Code],0))</f>
        <v>#N/A</v>
      </c>
      <c r="AE12" s="18" t="e">
        <f>INDEX(Rates_AllOther_Current[Network capacity charge '[R/POD/day']],MATCH(AE$40,Rates_AllOther_Current[Code],0))</f>
        <v>#N/A</v>
      </c>
      <c r="AF12" s="18">
        <f>INDEX(Rates_AllOther_Current[Network capacity charge '[R/POD/day']],MATCH(AF$40,Rates_AllOther_Current[Code],0))</f>
        <v>12.13</v>
      </c>
      <c r="AG12" s="18">
        <f>INDEX(Rates_AllOther_Current[Network capacity charge '[R/POD/day']],MATCH(AG$40,Rates_AllOther_Current[Code],0))</f>
        <v>27.07</v>
      </c>
      <c r="AH12" s="18">
        <f>INDEX(Rates_AllOther_Current[Network capacity charge '[R/POD/day']],MATCH(AH$40,Rates_AllOther_Current[Code],0))</f>
        <v>57.82</v>
      </c>
      <c r="AI12" s="18">
        <f>INDEX(Rates_AllOther_Current[Network capacity charge '[R/POD/day']],MATCH(AI$40,Rates_AllOther_Current[Code],0))</f>
        <v>8.35</v>
      </c>
      <c r="AK12" s="39">
        <f ca="1">SUMIFS(AL12:BO12,$AL$7:$BO$7,Selected_Tariff_ID)</f>
        <v>22.12</v>
      </c>
      <c r="AL12" s="18">
        <f>INDEX(Rates_AllOther_New[Network capacity charge '[R/POD/day']],MATCH(AL$40,Rates_AllOther_New[Code],0))</f>
        <v>22.12</v>
      </c>
      <c r="AM12" s="18">
        <f>INDEX(Rates_AllOther_New[Network capacity charge '[R/POD/day']],MATCH(AM$40,Rates_AllOther_New[Code],0))</f>
        <v>32.86</v>
      </c>
      <c r="AN12" s="18">
        <f>INDEX(Rates_AllOther_New[Network capacity charge '[R/POD/day']],MATCH(AN$40,Rates_AllOther_New[Code],0))</f>
        <v>81.98</v>
      </c>
      <c r="AO12" s="18">
        <f>INDEX(Rates_AllOther_New[Network capacity charge '[R/POD/day']],MATCH(AO$40,Rates_AllOther_New[Code],0))</f>
        <v>0</v>
      </c>
      <c r="AP12" s="18">
        <f>INDEX(Rates_AllOther_New[Network capacity charge '[R/POD/day']],MATCH(AP$40,Rates_AllOther_New[Code],0))</f>
        <v>0</v>
      </c>
      <c r="AQ12" s="18">
        <f>INDEX(Rates_AllOther_New[Network capacity charge '[R/POD/day']],MATCH(AQ$40,Rates_AllOther_New[Code],0))</f>
        <v>0</v>
      </c>
      <c r="AR12" s="18">
        <f>INDEX(Rates_AllOther_New[Network capacity charge '[R/POD/day']],MATCH(AR$40,Rates_AllOther_New[Code],0))</f>
        <v>13.19</v>
      </c>
      <c r="AS12" s="18">
        <f>INDEX(Rates_AllOther_New[Network capacity charge '[R/POD/day']],MATCH(AS$40,Rates_AllOther_New[Code],0))</f>
        <v>29.44</v>
      </c>
      <c r="AT12" s="18">
        <f>INDEX(Rates_AllOther_New[Network capacity charge '[R/POD/day']],MATCH(AT$40,Rates_AllOther_New[Code],0))</f>
        <v>62.89</v>
      </c>
      <c r="AU12" s="18">
        <f>INDEX(Rates_AllOther_New[Network capacity charge '[R/POD/day']],MATCH(AU$40,Rates_AllOther_New[Code],0))</f>
        <v>9.08</v>
      </c>
      <c r="AV12" s="18">
        <f>INDEX(Rates_AllOther_New[Network capacity charge '[R/POD/day']],MATCH(AV$40,Rates_AllOther_New[Code],0))</f>
        <v>60.17</v>
      </c>
      <c r="AW12" s="18">
        <f>INDEX(Rates_AllOther_New[Network capacity charge '[R/POD/day']],MATCH(AW$40,Rates_AllOther_New[Code],0))</f>
        <v>67.650000000000006</v>
      </c>
      <c r="AX12" s="18">
        <f>INDEX(Rates_AllOther_New[Network capacity charge '[R/POD/day']],MATCH(AX$40,Rates_AllOther_New[Code],0))</f>
        <v>105.49</v>
      </c>
      <c r="AY12" s="18">
        <f>INDEX(Rates_AllOther_New[Network capacity charge '[R/POD/day']],MATCH(AY$40,Rates_AllOther_New[Code],0))</f>
        <v>168.93</v>
      </c>
      <c r="AZ12" s="18">
        <f>INDEX(Rates_AllOther_New[Network capacity charge '[R/POD/day']],MATCH(AZ$40,Rates_AllOther_New[Code],0))</f>
        <v>49.94</v>
      </c>
      <c r="BA12" s="18">
        <f>INDEX(Rates_AllOther_New[Network capacity charge '[R/POD/day']],MATCH(BA$40,Rates_AllOther_New[Code],0))</f>
        <v>0</v>
      </c>
      <c r="BB12" s="18">
        <f>INDEX(Rates_AllOther_New[Network capacity charge '[R/POD/day']],MATCH(BB$40,Rates_AllOther_New[Code],0))</f>
        <v>0</v>
      </c>
      <c r="BC12" s="18">
        <f>INDEX(Rates_AllOther_New[Network capacity charge '[R/POD/day']],MATCH(BC$40,Rates_AllOther_New[Code],0))</f>
        <v>0</v>
      </c>
      <c r="BD12" s="18">
        <f>INDEX(Rates_AllOther_New[Network capacity charge '[R/POD/day']],MATCH(BD$40,Rates_AllOther_New[Code],0))</f>
        <v>0</v>
      </c>
      <c r="BE12" s="18">
        <f>INDEX(Rates_AllOther_New[Network capacity charge '[R/POD/day']],MATCH(BE$40,Rates_AllOther_New[Code],0))</f>
        <v>0</v>
      </c>
      <c r="BF12" s="18">
        <f>INDEX(Rates_AllOther_New[Network capacity charge '[R/POD/day']],MATCH(BF$40,Rates_AllOther_New[Code],0))</f>
        <v>0</v>
      </c>
      <c r="BG12" s="18"/>
      <c r="BH12" s="18" t="e">
        <f>INDEX(Rates_AllOther_New[Network capacity charge '[R/POD/day']],MATCH(BH$40,Rates_AllOther_New[Code],0))</f>
        <v>#N/A</v>
      </c>
      <c r="BI12" s="18" t="e">
        <f>INDEX(Rates_AllOther_New[Network capacity charge '[R/POD/day']],MATCH(BI$40,Rates_AllOther_New[Code],0))</f>
        <v>#N/A</v>
      </c>
      <c r="BJ12" s="18" t="e">
        <f>INDEX(Rates_AllOther_New[Network capacity charge '[R/POD/day']],MATCH(BJ$40,Rates_AllOther_New[Code],0))</f>
        <v>#N/A</v>
      </c>
      <c r="BK12" s="18" t="e">
        <f>INDEX(Rates_AllOther_New[Network capacity charge '[R/POD/day']],MATCH(BK$40,Rates_AllOther_New[Code],0))</f>
        <v>#N/A</v>
      </c>
      <c r="BL12" s="18">
        <f>INDEX(Rates_AllOther_New[Network capacity charge '[R/POD/day']],MATCH(BL$40,Rates_AllOther_New[Code],0))</f>
        <v>13.19</v>
      </c>
      <c r="BM12" s="18">
        <f>INDEX(Rates_AllOther_New[Network capacity charge '[R/POD/day']],MATCH(BM$40,Rates_AllOther_New[Code],0))</f>
        <v>29.44</v>
      </c>
      <c r="BN12" s="18">
        <f>INDEX(Rates_AllOther_New[Network capacity charge '[R/POD/day']],MATCH(BN$40,Rates_AllOther_New[Code],0))</f>
        <v>62.89</v>
      </c>
      <c r="BO12" s="18">
        <f>INDEX(Rates_AllOther_New[Network capacity charge '[R/POD/day']],MATCH(BO$40,Rates_AllOther_New[Code],0))</f>
        <v>9.08</v>
      </c>
    </row>
    <row r="13" spans="2:67" ht="3.9" customHeight="1"/>
    <row r="14" spans="2:67">
      <c r="B14" s="6" t="s">
        <v>82</v>
      </c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</row>
    <row r="16" spans="2:67" ht="22.8">
      <c r="B16" s="17" t="s">
        <v>129</v>
      </c>
      <c r="C16" s="17"/>
      <c r="D16" s="16" t="s">
        <v>81</v>
      </c>
      <c r="E16" s="16" t="str">
        <f>E$8</f>
        <v>2025/26 Rates</v>
      </c>
      <c r="F16" s="16" t="str">
        <f t="shared" ref="F16:AI16" si="19">F$8</f>
        <v>2025/26 Rates</v>
      </c>
      <c r="G16" s="16" t="str">
        <f t="shared" si="19"/>
        <v>2025/26 Rates</v>
      </c>
      <c r="H16" s="16" t="str">
        <f t="shared" si="19"/>
        <v>2025/26 Rates</v>
      </c>
      <c r="I16" s="16" t="str">
        <f t="shared" si="19"/>
        <v>2025/26 Rates</v>
      </c>
      <c r="J16" s="16" t="str">
        <f t="shared" si="19"/>
        <v>2025/26 Rates</v>
      </c>
      <c r="K16" s="16" t="str">
        <f t="shared" si="19"/>
        <v>2025/26 Rates</v>
      </c>
      <c r="L16" s="16" t="str">
        <f t="shared" si="19"/>
        <v>2025/26 Rates</v>
      </c>
      <c r="M16" s="16" t="str">
        <f t="shared" si="19"/>
        <v>2025/26 Rates</v>
      </c>
      <c r="N16" s="16" t="str">
        <f t="shared" si="19"/>
        <v>2025/26 Rates</v>
      </c>
      <c r="O16" s="16" t="str">
        <f t="shared" si="19"/>
        <v>2025/26 Rates</v>
      </c>
      <c r="P16" s="16" t="str">
        <f t="shared" si="19"/>
        <v>2025/26 Rates</v>
      </c>
      <c r="Q16" s="16" t="str">
        <f t="shared" si="19"/>
        <v>2025/26 Rates</v>
      </c>
      <c r="R16" s="16" t="str">
        <f t="shared" si="19"/>
        <v>2025/26 Rates</v>
      </c>
      <c r="S16" s="16" t="str">
        <f t="shared" si="19"/>
        <v>2025/26 Rates</v>
      </c>
      <c r="T16" s="16" t="str">
        <f t="shared" si="19"/>
        <v>2025/26 Rates</v>
      </c>
      <c r="U16" s="16" t="str">
        <f t="shared" si="19"/>
        <v>2025/26 Rates</v>
      </c>
      <c r="V16" s="16" t="str">
        <f t="shared" si="19"/>
        <v>2025/26 Rates</v>
      </c>
      <c r="W16" s="16" t="str">
        <f t="shared" si="19"/>
        <v>2025/26 Rates</v>
      </c>
      <c r="X16" s="16" t="str">
        <f t="shared" si="19"/>
        <v>2025/26 Rates</v>
      </c>
      <c r="Y16" s="16" t="str">
        <f t="shared" si="19"/>
        <v>2025/26 Rates</v>
      </c>
      <c r="Z16" s="16" t="str">
        <f t="shared" si="19"/>
        <v>2025/26 Rates</v>
      </c>
      <c r="AA16" s="16" t="s">
        <v>401</v>
      </c>
      <c r="AB16" s="16" t="s">
        <v>401</v>
      </c>
      <c r="AC16" s="16" t="s">
        <v>401</v>
      </c>
      <c r="AD16" s="16" t="s">
        <v>401</v>
      </c>
      <c r="AE16" s="16" t="s">
        <v>401</v>
      </c>
      <c r="AF16" s="16" t="str">
        <f t="shared" si="19"/>
        <v>2025/26 Rates</v>
      </c>
      <c r="AG16" s="16" t="str">
        <f t="shared" si="19"/>
        <v>2025/26 Rates</v>
      </c>
      <c r="AH16" s="16" t="str">
        <f t="shared" si="19"/>
        <v>2025/26 Rates</v>
      </c>
      <c r="AI16" s="16" t="str">
        <f t="shared" si="19"/>
        <v>2025/26 Rates</v>
      </c>
      <c r="AK16" s="16" t="str">
        <f>AK$8</f>
        <v>2026/27 Rates</v>
      </c>
      <c r="AL16" s="16" t="str">
        <f t="shared" ref="AL16:BO16" si="20">AL$8</f>
        <v>2026/27 Rates</v>
      </c>
      <c r="AM16" s="16" t="str">
        <f t="shared" si="20"/>
        <v>2026/27 Rates</v>
      </c>
      <c r="AN16" s="16" t="str">
        <f t="shared" si="20"/>
        <v>2026/27 Rates</v>
      </c>
      <c r="AO16" s="16" t="str">
        <f t="shared" si="20"/>
        <v>2026/27 Rates</v>
      </c>
      <c r="AP16" s="16" t="str">
        <f t="shared" si="20"/>
        <v>2026/27 Rates</v>
      </c>
      <c r="AQ16" s="16" t="str">
        <f t="shared" si="20"/>
        <v>2026/27 Rates</v>
      </c>
      <c r="AR16" s="16" t="str">
        <f t="shared" si="20"/>
        <v>2026/27 Rates</v>
      </c>
      <c r="AS16" s="16" t="str">
        <f t="shared" si="20"/>
        <v>2026/27 Rates</v>
      </c>
      <c r="AT16" s="16" t="str">
        <f t="shared" si="20"/>
        <v>2026/27 Rates</v>
      </c>
      <c r="AU16" s="16" t="str">
        <f t="shared" si="20"/>
        <v>2026/27 Rates</v>
      </c>
      <c r="AV16" s="16" t="str">
        <f t="shared" si="20"/>
        <v>2026/27 Rates</v>
      </c>
      <c r="AW16" s="16" t="str">
        <f t="shared" si="20"/>
        <v>2026/27 Rates</v>
      </c>
      <c r="AX16" s="16" t="str">
        <f t="shared" si="20"/>
        <v>2026/27 Rates</v>
      </c>
      <c r="AY16" s="16" t="str">
        <f t="shared" si="20"/>
        <v>2026/27 Rates</v>
      </c>
      <c r="AZ16" s="16" t="str">
        <f t="shared" si="20"/>
        <v>2026/27 Rates</v>
      </c>
      <c r="BA16" s="16" t="str">
        <f t="shared" si="20"/>
        <v>2026/27 Rates</v>
      </c>
      <c r="BB16" s="16" t="str">
        <f t="shared" si="20"/>
        <v>2026/27 Rates</v>
      </c>
      <c r="BC16" s="16" t="str">
        <f t="shared" si="20"/>
        <v>2026/27 Rates</v>
      </c>
      <c r="BD16" s="16" t="str">
        <f t="shared" si="20"/>
        <v>2026/27 Rates</v>
      </c>
      <c r="BE16" s="16" t="str">
        <f t="shared" si="20"/>
        <v>2026/27 Rates</v>
      </c>
      <c r="BF16" s="16" t="str">
        <f t="shared" si="20"/>
        <v>2026/27 Rates</v>
      </c>
      <c r="BG16" s="16" t="s">
        <v>402</v>
      </c>
      <c r="BH16" s="16" t="str">
        <f t="shared" si="20"/>
        <v>2026/27 Rates</v>
      </c>
      <c r="BI16" s="16" t="str">
        <f t="shared" si="20"/>
        <v>2026/27 Rates</v>
      </c>
      <c r="BJ16" s="16" t="str">
        <f t="shared" si="20"/>
        <v>2026/27 Rates</v>
      </c>
      <c r="BK16" s="16" t="str">
        <f t="shared" si="20"/>
        <v>2026/27 Rates</v>
      </c>
      <c r="BL16" s="16" t="str">
        <f t="shared" si="20"/>
        <v>2026/27 Rates</v>
      </c>
      <c r="BM16" s="16" t="str">
        <f t="shared" si="20"/>
        <v>2026/27 Rates</v>
      </c>
      <c r="BN16" s="16" t="str">
        <f t="shared" si="20"/>
        <v>2026/27 Rates</v>
      </c>
      <c r="BO16" s="16" t="str">
        <f t="shared" si="20"/>
        <v>2026/27 Rates</v>
      </c>
    </row>
    <row r="17" spans="2:67" ht="7.2" customHeight="1"/>
    <row r="18" spans="2:67">
      <c r="C18" t="s">
        <v>91</v>
      </c>
      <c r="D18" s="21" t="s">
        <v>80</v>
      </c>
      <c r="E18" s="39">
        <f t="shared" ref="E18:E25" ca="1" si="21">SUMIFS(F18:AI18,$F$7:$AI$7,$F$2)</f>
        <v>224.93</v>
      </c>
      <c r="F18" s="34">
        <f>INDEX(Rates_AllOther_Current[Energy charge '[c/kWh']],MATCH(F$40,Rates_AllOther_Current[Code],0))</f>
        <v>224.93</v>
      </c>
      <c r="G18" s="34">
        <f>INDEX(Rates_AllOther_Current[Energy charge '[c/kWh']],MATCH(G$40,Rates_AllOther_Current[Code],0))</f>
        <v>224.93</v>
      </c>
      <c r="H18" s="34">
        <f>INDEX(Rates_AllOther_Current[Energy charge '[c/kWh']],MATCH(H$40,Rates_AllOther_Current[Code],0))</f>
        <v>224.93</v>
      </c>
      <c r="I18" s="34">
        <f>INDEX(Rates_AllOther_Current[Energy charge '[c/kWh']],MATCH(I$40,Rates_AllOther_Current[Code],0))</f>
        <v>350.09</v>
      </c>
      <c r="J18" s="34">
        <f>INDEX(Rates_AllOther_Current[Energy charge '[c/kWh']],MATCH(J$40,Rates_AllOther_Current[Code],0))</f>
        <v>216.11</v>
      </c>
      <c r="K18" s="34">
        <f>INDEX(Rates_AllOther_Current[Energy charge '[c/kWh']],MATCH(K$40,Rates_AllOther_Current[Code],0))</f>
        <v>274.72000000000003</v>
      </c>
      <c r="L18" s="34">
        <f>INDEX(Rates_AllOther_Current[Energy charge '[c/kWh']],MATCH(L$40,Rates_AllOther_Current[Code],0))</f>
        <v>268.77999999999997</v>
      </c>
      <c r="M18" s="34">
        <f>INDEX(Rates_AllOther_Current[Energy charge '[c/kWh']],MATCH(M$40,Rates_AllOther_Current[Code],0))</f>
        <v>268.77999999999997</v>
      </c>
      <c r="N18" s="34">
        <f>INDEX(Rates_AllOther_Current[Energy charge '[c/kWh']],MATCH(N$40,Rates_AllOther_Current[Code],0))</f>
        <v>268.77999999999997</v>
      </c>
      <c r="O18" s="34">
        <f>INDEX(Rates_AllOther_Current[Energy charge '[c/kWh']],MATCH(O$40,Rates_AllOther_Current[Code],0))</f>
        <v>268.77999999999997</v>
      </c>
      <c r="P18" s="34">
        <f>INDEX(Rates_AllOther_Current[Energy charge '[c/kWh']],MATCH(P$40,Rates_AllOther_Current[Code],0))</f>
        <v>268.77999999999997</v>
      </c>
      <c r="Q18" s="34">
        <f>INDEX(Rates_AllOther_Current[Energy charge '[c/kWh']],MATCH(Q$40,Rates_AllOther_Current[Code],0))</f>
        <v>224.93</v>
      </c>
      <c r="R18" s="34">
        <f>INDEX(Rates_AllOther_Current[Energy charge '[c/kWh']],MATCH(R$40,Rates_AllOther_Current[Code],0))</f>
        <v>224.93</v>
      </c>
      <c r="S18" s="34">
        <f>INDEX(Rates_AllOther_Current[Energy charge '[c/kWh']],MATCH(S$40,Rates_AllOther_Current[Code],0))</f>
        <v>224.93</v>
      </c>
      <c r="T18" s="34">
        <f>INDEX(Rates_AllOther_Current[Energy charge '[c/kWh']],MATCH(T$40,Rates_AllOther_Current[Code],0))</f>
        <v>369.32</v>
      </c>
      <c r="U18" s="34">
        <f>INDEX(Rates_AllOther_Current[Energy charge '[c/kWh']],MATCH(U$40,Rates_AllOther_Current[Code],0))</f>
        <v>0</v>
      </c>
      <c r="V18" s="34">
        <f>INDEX(Rates_AllOther_Current[Energy charge '[c/kWh']],MATCH(V$40,Rates_AllOther_Current[Code],0))</f>
        <v>603.54</v>
      </c>
      <c r="W18" s="34">
        <f>INDEX(Rates_AllOther_Current[Energy charge '[c/kWh']],MATCH(W$40,Rates_AllOther_Current[Code],0))</f>
        <v>836</v>
      </c>
      <c r="X18" s="34">
        <f>INDEX(Rates_AllOther_Current[Energy charge '[c/kWh']],MATCH(X$40,Rates_AllOther_Current[Code],0))</f>
        <v>242.11</v>
      </c>
      <c r="Y18" s="34">
        <f>INDEX(Rates_AllOther_Current[Energy charge '[c/kWh']],MATCH(Y$40,Rates_AllOther_Current[Code],0))</f>
        <v>232.22</v>
      </c>
      <c r="Z18" s="34">
        <f>INDEX(Rates_AllOther_Current[Energy charge '[c/kWh']],MATCH(Z$40,Rates_AllOther_Current[Code],0))</f>
        <v>0</v>
      </c>
      <c r="AA18" s="34"/>
      <c r="AB18" s="34" t="e">
        <f>INDEX(Rates_AllOther_Current[Energy charge '[c/kWh']],MATCH(AB$40,Rates_AllOther_Current[Code],0))</f>
        <v>#N/A</v>
      </c>
      <c r="AC18" s="34" t="e">
        <f>INDEX(Rates_AllOther_Current[Energy charge '[c/kWh']],MATCH(AC$40,Rates_AllOther_Current[Code],0))</f>
        <v>#N/A</v>
      </c>
      <c r="AD18" s="34" t="e">
        <f>INDEX(Rates_AllOther_Current[Energy charge '[c/kWh']],MATCH(AD$40,Rates_AllOther_Current[Code],0))</f>
        <v>#N/A</v>
      </c>
      <c r="AE18" s="34" t="e">
        <f>INDEX(Rates_AllOther_Current[Energy charge '[c/kWh']],MATCH(AE$40,Rates_AllOther_Current[Code],0))</f>
        <v>#N/A</v>
      </c>
      <c r="AF18" s="34">
        <f>INDEX(Rates_AllOther_Current[Energy charge '[c/kWh']],MATCH(AF$40,Rates_AllOther_Current[Code],0))</f>
        <v>0</v>
      </c>
      <c r="AG18" s="34">
        <f>INDEX(Rates_AllOther_Current[Energy charge '[c/kWh']],MATCH(AG$40,Rates_AllOther_Current[Code],0))</f>
        <v>0</v>
      </c>
      <c r="AH18" s="34">
        <f>INDEX(Rates_AllOther_Current[Energy charge '[c/kWh']],MATCH(AH$40,Rates_AllOther_Current[Code],0))</f>
        <v>0</v>
      </c>
      <c r="AI18" s="34">
        <f>INDEX(Rates_AllOther_Current[Energy charge '[c/kWh']],MATCH(AI$40,Rates_AllOther_Current[Code],0))</f>
        <v>0</v>
      </c>
      <c r="AK18" s="39">
        <f t="shared" ref="AK18:AK25" ca="1" si="22">SUMIFS(AL18:BO18,$AL$7:$BO$7,Selected_Tariff_ID)</f>
        <v>242.9</v>
      </c>
      <c r="AL18" s="34">
        <f>INDEX(Rates_AllOther_New[Energy charge '[c/kWh']],MATCH(AL$40,Rates_AllOther_New[Code],0))</f>
        <v>242.9</v>
      </c>
      <c r="AM18" s="34">
        <f>INDEX(Rates_AllOther_New[Energy charge '[c/kWh']],MATCH(AM$40,Rates_AllOther_New[Code],0))</f>
        <v>242.9</v>
      </c>
      <c r="AN18" s="34">
        <f>INDEX(Rates_AllOther_New[Energy charge '[c/kWh']],MATCH(AN$40,Rates_AllOther_New[Code],0))</f>
        <v>242.9</v>
      </c>
      <c r="AO18" s="34">
        <f>INDEX(Rates_AllOther_New[Energy charge '[c/kWh']],MATCH(AO$40,Rates_AllOther_New[Code],0))</f>
        <v>378.06</v>
      </c>
      <c r="AP18" s="34">
        <f>INDEX(Rates_AllOther_New[Energy charge '[c/kWh']],MATCH(AP$40,Rates_AllOther_New[Code],0))</f>
        <v>235.04</v>
      </c>
      <c r="AQ18" s="34">
        <f>INDEX(Rates_AllOther_New[Energy charge '[c/kWh']],MATCH(AQ$40,Rates_AllOther_New[Code],0))</f>
        <v>298.79000000000002</v>
      </c>
      <c r="AR18" s="34">
        <f>INDEX(Rates_AllOther_New[Energy charge '[c/kWh']],MATCH(AR$40,Rates_AllOther_New[Code],0))</f>
        <v>280.05</v>
      </c>
      <c r="AS18" s="34">
        <f>INDEX(Rates_AllOther_New[Energy charge '[c/kWh']],MATCH(AS$40,Rates_AllOther_New[Code],0))</f>
        <v>280.05</v>
      </c>
      <c r="AT18" s="34">
        <f>INDEX(Rates_AllOther_New[Energy charge '[c/kWh']],MATCH(AT$40,Rates_AllOther_New[Code],0))</f>
        <v>280.05</v>
      </c>
      <c r="AU18" s="34">
        <f>INDEX(Rates_AllOther_New[Energy charge '[c/kWh']],MATCH(AU$40,Rates_AllOther_New[Code],0))</f>
        <v>280.05</v>
      </c>
      <c r="AV18" s="34">
        <f>INDEX(Rates_AllOther_New[Energy charge '[c/kWh']],MATCH(AV$40,Rates_AllOther_New[Code],0))</f>
        <v>280.05</v>
      </c>
      <c r="AW18" s="34">
        <f>INDEX(Rates_AllOther_New[Energy charge '[c/kWh']],MATCH(AW$40,Rates_AllOther_New[Code],0))</f>
        <v>242.9</v>
      </c>
      <c r="AX18" s="34">
        <f>INDEX(Rates_AllOther_New[Energy charge '[c/kWh']],MATCH(AX$40,Rates_AllOther_New[Code],0))</f>
        <v>242.9</v>
      </c>
      <c r="AY18" s="34">
        <f>INDEX(Rates_AllOther_New[Energy charge '[c/kWh']],MATCH(AY$40,Rates_AllOther_New[Code],0))</f>
        <v>242.9</v>
      </c>
      <c r="AZ18" s="34">
        <f>INDEX(Rates_AllOther_New[Energy charge '[c/kWh']],MATCH(AZ$40,Rates_AllOther_New[Code],0))</f>
        <v>398.82</v>
      </c>
      <c r="BA18" s="34">
        <f>INDEX(Rates_AllOther_New[Energy charge '[c/kWh']],MATCH(BA$40,Rates_AllOther_New[Code],0))</f>
        <v>0</v>
      </c>
      <c r="BB18" s="34">
        <f>INDEX(Rates_AllOther_New[Energy charge '[c/kWh']],MATCH(BB$40,Rates_AllOther_New[Code],0))</f>
        <v>656.41</v>
      </c>
      <c r="BC18" s="34">
        <f>INDEX(Rates_AllOther_New[Energy charge '[c/kWh']],MATCH(BC$40,Rates_AllOther_New[Code],0))</f>
        <v>909.23</v>
      </c>
      <c r="BD18" s="34">
        <f>INDEX(Rates_AllOther_New[Energy charge '[c/kWh']],MATCH(BD$40,Rates_AllOther_New[Code],0))</f>
        <v>263.32</v>
      </c>
      <c r="BE18" s="34">
        <f>INDEX(Rates_AllOther_New[Energy charge '[c/kWh']],MATCH(BE$40,Rates_AllOther_New[Code],0))</f>
        <v>252.56</v>
      </c>
      <c r="BF18" s="34">
        <f>INDEX(Rates_AllOther_New[Energy charge '[c/kWh']],MATCH(BF$40,Rates_AllOther_New[Code],0))</f>
        <v>0</v>
      </c>
      <c r="BG18" s="34"/>
      <c r="BH18" s="34" t="e">
        <f>INDEX(Rates_AllOther_New[Energy charge '[c/kWh']],MATCH(BH$40,Rates_AllOther_New[Code],0))</f>
        <v>#N/A</v>
      </c>
      <c r="BI18" s="34" t="e">
        <f>INDEX(Rates_AllOther_New[Energy charge '[c/kWh']],MATCH(BI$40,Rates_AllOther_New[Code],0))</f>
        <v>#N/A</v>
      </c>
      <c r="BJ18" s="34" t="e">
        <f>INDEX(Rates_AllOther_New[Energy charge '[c/kWh']],MATCH(BJ$40,Rates_AllOther_New[Code],0))</f>
        <v>#N/A</v>
      </c>
      <c r="BK18" s="34" t="e">
        <f>INDEX(Rates_AllOther_New[Energy charge '[c/kWh']],MATCH(BK$40,Rates_AllOther_New[Code],0))</f>
        <v>#N/A</v>
      </c>
      <c r="BL18" s="34" t="str">
        <f>INDEX(Rates_AllOther_New[Energy charge '[c/kWh']],MATCH(BL$40,Rates_AllOther_New[Code],0))</f>
        <v>n/a</v>
      </c>
      <c r="BM18" s="34" t="str">
        <f>INDEX(Rates_AllOther_New[Energy charge '[c/kWh']],MATCH(BM$40,Rates_AllOther_New[Code],0))</f>
        <v>n/a</v>
      </c>
      <c r="BN18" s="34" t="str">
        <f>INDEX(Rates_AllOther_New[Energy charge '[c/kWh']],MATCH(BN$40,Rates_AllOther_New[Code],0))</f>
        <v>n/a</v>
      </c>
      <c r="BO18" s="34" t="str">
        <f>INDEX(Rates_AllOther_New[Energy charge '[c/kWh']],MATCH(BO$40,Rates_AllOther_New[Code],0))</f>
        <v>n/a</v>
      </c>
    </row>
    <row r="19" spans="2:67">
      <c r="C19" t="s">
        <v>310</v>
      </c>
      <c r="D19" s="21" t="s">
        <v>80</v>
      </c>
      <c r="E19" s="39">
        <f t="shared" ca="1" si="21"/>
        <v>0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>
        <f>INDEX(Rates_AllOther_Current[High - Peak],MATCH(AF$40,Rates_AllOther_Current[Code],0))</f>
        <v>706.97</v>
      </c>
      <c r="AG19" s="34">
        <f>INDEX(Rates_AllOther_Current[High - Peak],MATCH(AG$40,Rates_AllOther_Current[Code],0))</f>
        <v>706.97</v>
      </c>
      <c r="AH19" s="34">
        <f>INDEX(Rates_AllOther_Current[High - Peak],MATCH(AH$40,Rates_AllOther_Current[Code],0))</f>
        <v>706.97</v>
      </c>
      <c r="AI19" s="34">
        <f>INDEX(Rates_AllOther_Current[High - Peak],MATCH(AI$40,Rates_AllOther_Current[Code],0))</f>
        <v>706.97</v>
      </c>
      <c r="AK19" s="39">
        <f t="shared" ca="1" si="22"/>
        <v>0</v>
      </c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>
        <f>INDEX(Rates_AllOther_New[High - Peak],MATCH(BL$40,Rates_AllOther_New[Code],0))</f>
        <v>736.61</v>
      </c>
      <c r="BM19" s="34">
        <f>INDEX(Rates_AllOther_New[High - Peak],MATCH(BM$40,Rates_AllOther_New[Code],0))</f>
        <v>736.61</v>
      </c>
      <c r="BN19" s="34">
        <f>INDEX(Rates_AllOther_New[High - Peak],MATCH(BN$40,Rates_AllOther_New[Code],0))</f>
        <v>736.61</v>
      </c>
      <c r="BO19" s="34">
        <f>INDEX(Rates_AllOther_New[High - Peak],MATCH(BO$40,Rates_AllOther_New[Code],0))</f>
        <v>736.61</v>
      </c>
    </row>
    <row r="20" spans="2:67">
      <c r="C20" t="s">
        <v>311</v>
      </c>
      <c r="D20" s="21" t="s">
        <v>80</v>
      </c>
      <c r="E20" s="39">
        <f t="shared" ca="1" si="21"/>
        <v>0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>
        <f>INDEX(Rates_AllOther_Current[High - Standard],MATCH(AF$40,Rates_AllOther_Current[Code],0))</f>
        <v>216.31</v>
      </c>
      <c r="AG20" s="34">
        <f>INDEX(Rates_AllOther_Current[High - Standard],MATCH(AG$40,Rates_AllOther_Current[Code],0))</f>
        <v>216.31</v>
      </c>
      <c r="AH20" s="34">
        <f>INDEX(Rates_AllOther_Current[High - Standard],MATCH(AH$40,Rates_AllOther_Current[Code],0))</f>
        <v>216.31</v>
      </c>
      <c r="AI20" s="34">
        <f>INDEX(Rates_AllOther_Current[High - Standard],MATCH(AI$40,Rates_AllOther_Current[Code],0))</f>
        <v>216.31</v>
      </c>
      <c r="AK20" s="39">
        <f t="shared" ca="1" si="22"/>
        <v>0</v>
      </c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>
        <f>INDEX(Rates_AllOther_New[High - Standard],MATCH(BL$40,Rates_AllOther_New[Code],0))</f>
        <v>225.38</v>
      </c>
      <c r="BM20" s="34">
        <f>INDEX(Rates_AllOther_New[High - Standard],MATCH(BM$40,Rates_AllOther_New[Code],0))</f>
        <v>225.38</v>
      </c>
      <c r="BN20" s="34">
        <f>INDEX(Rates_AllOther_New[High - Standard],MATCH(BN$40,Rates_AllOther_New[Code],0))</f>
        <v>225.38</v>
      </c>
      <c r="BO20" s="34">
        <f>INDEX(Rates_AllOther_New[High - Standard],MATCH(BO$40,Rates_AllOther_New[Code],0))</f>
        <v>225.38</v>
      </c>
    </row>
    <row r="21" spans="2:67">
      <c r="C21" t="s">
        <v>312</v>
      </c>
      <c r="D21" s="21" t="s">
        <v>80</v>
      </c>
      <c r="E21" s="39">
        <f t="shared" ca="1" si="21"/>
        <v>0</v>
      </c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>
        <f>INDEX(Rates_AllOther_Current[High-Off Peak],MATCH(AF$40,Rates_AllOther_Current[Code],0))</f>
        <v>159.26</v>
      </c>
      <c r="AG21" s="34">
        <f>INDEX(Rates_AllOther_Current[High-Off Peak],MATCH(AG$40,Rates_AllOther_Current[Code],0))</f>
        <v>159.26</v>
      </c>
      <c r="AH21" s="34">
        <f>INDEX(Rates_AllOther_Current[High-Off Peak],MATCH(AH$40,Rates_AllOther_Current[Code],0))</f>
        <v>159.26</v>
      </c>
      <c r="AI21" s="34">
        <f>INDEX(Rates_AllOther_Current[High-Off Peak],MATCH(AI$40,Rates_AllOther_Current[Code],0))</f>
        <v>159.26</v>
      </c>
      <c r="AK21" s="39">
        <f t="shared" ca="1" si="22"/>
        <v>0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>
        <f>INDEX(Rates_AllOther_New[High-Off Peak],MATCH(BL$40,Rates_AllOther_New[Code],0))</f>
        <v>165.94</v>
      </c>
      <c r="BM21" s="34">
        <f>INDEX(Rates_AllOther_New[High-Off Peak],MATCH(BM$40,Rates_AllOther_New[Code],0))</f>
        <v>165.94</v>
      </c>
      <c r="BN21" s="34">
        <f>INDEX(Rates_AllOther_New[High-Off Peak],MATCH(BN$40,Rates_AllOther_New[Code],0))</f>
        <v>165.94</v>
      </c>
      <c r="BO21" s="34">
        <f>INDEX(Rates_AllOther_New[High-Off Peak],MATCH(BO$40,Rates_AllOther_New[Code],0))</f>
        <v>165.94</v>
      </c>
    </row>
    <row r="22" spans="2:67">
      <c r="C22" t="s">
        <v>126</v>
      </c>
      <c r="D22" s="21" t="s">
        <v>80</v>
      </c>
      <c r="E22" s="39">
        <f t="shared" ca="1" si="21"/>
        <v>0</v>
      </c>
      <c r="F22" s="34">
        <f>INDEX(Rates_AllOther_Current[Energy charge Block 1 '[c/kWh']],MATCH(F$40,Rates_AllOther_Current[Code],0))</f>
        <v>0</v>
      </c>
      <c r="G22" s="34">
        <f>INDEX(Rates_AllOther_Current[Energy charge Block 1 '[c/kWh']],MATCH(G$40,Rates_AllOther_Current[Code],0))</f>
        <v>0</v>
      </c>
      <c r="H22" s="34">
        <f>INDEX(Rates_AllOther_Current[Energy charge Block 1 '[c/kWh']],MATCH(H$40,Rates_AllOther_Current[Code],0))</f>
        <v>0</v>
      </c>
      <c r="I22" s="34">
        <f>INDEX(Rates_AllOther_Current[Energy charge Block 1 '[c/kWh']],MATCH(I$40,Rates_AllOther_Current[Code],0))</f>
        <v>0</v>
      </c>
      <c r="J22" s="34">
        <f>INDEX(Rates_AllOther_Current[Energy charge Block 1 '[c/kWh']],MATCH(J$40,Rates_AllOther_Current[Code],0))</f>
        <v>0</v>
      </c>
      <c r="K22" s="34">
        <f>INDEX(Rates_AllOther_Current[Energy charge Block 1 '[c/kWh']],MATCH(K$40,Rates_AllOther_Current[Code],0))</f>
        <v>0</v>
      </c>
      <c r="L22" s="34">
        <f>INDEX(Rates_AllOther_Current[Energy charge Block 1 '[c/kWh']],MATCH(L$40,Rates_AllOther_Current[Code],0))</f>
        <v>0</v>
      </c>
      <c r="M22" s="34">
        <f>INDEX(Rates_AllOther_Current[Energy charge Block 1 '[c/kWh']],MATCH(M$40,Rates_AllOther_Current[Code],0))</f>
        <v>0</v>
      </c>
      <c r="N22" s="34">
        <f>INDEX(Rates_AllOther_Current[Energy charge Block 1 '[c/kWh']],MATCH(N$40,Rates_AllOther_Current[Code],0))</f>
        <v>0</v>
      </c>
      <c r="O22" s="34">
        <f>INDEX(Rates_AllOther_Current[Energy charge Block 1 '[c/kWh']],MATCH(O$40,Rates_AllOther_Current[Code],0))</f>
        <v>0</v>
      </c>
      <c r="P22" s="34">
        <f>INDEX(Rates_AllOther_Current[Energy charge Block 1 '[c/kWh']],MATCH(P$40,Rates_AllOther_Current[Code],0))</f>
        <v>0</v>
      </c>
      <c r="Q22" s="34">
        <f>INDEX(Rates_AllOther_Current[Energy charge Block 1 '[c/kWh']],MATCH(Q$40,Rates_AllOther_Current[Code],0))</f>
        <v>0</v>
      </c>
      <c r="R22" s="34">
        <f>INDEX(Rates_AllOther_Current[Energy charge Block 1 '[c/kWh']],MATCH(R$40,Rates_AllOther_Current[Code],0))</f>
        <v>0</v>
      </c>
      <c r="S22" s="34">
        <f>INDEX(Rates_AllOther_Current[Energy charge Block 1 '[c/kWh']],MATCH(S$40,Rates_AllOther_Current[Code],0))</f>
        <v>0</v>
      </c>
      <c r="T22" s="34">
        <f>INDEX(Rates_AllOther_Current[Energy charge Block 1 '[c/kWh']],MATCH(T$40,Rates_AllOther_Current[Code],0))</f>
        <v>0</v>
      </c>
      <c r="U22" s="34">
        <f>INDEX(Rates_AllOther_Current[Energy charge Block 1 '[c/kWh']],MATCH(U$40,Rates_AllOther_Current[Code],0))</f>
        <v>0</v>
      </c>
      <c r="V22" s="34">
        <f>INDEX(Rates_AllOther_Current[Energy charge Block 1 '[c/kWh']],MATCH(V$40,Rates_AllOther_Current[Code],0))</f>
        <v>0</v>
      </c>
      <c r="W22" s="34">
        <f>INDEX(Rates_AllOther_Current[Energy charge Block 1 '[c/kWh']],MATCH(W$40,Rates_AllOther_Current[Code],0))</f>
        <v>0</v>
      </c>
      <c r="X22" s="34">
        <f>INDEX(Rates_AllOther_Current[Energy charge Block 1 '[c/kWh']],MATCH(X$40,Rates_AllOther_Current[Code],0))</f>
        <v>0</v>
      </c>
      <c r="Y22" s="34">
        <f>INDEX(Rates_AllOther_Current[Energy charge Block 1 '[c/kWh']],MATCH(Y$40,Rates_AllOther_Current[Code],0))</f>
        <v>0</v>
      </c>
      <c r="Z22" s="34">
        <f>INDEX(Rates_AllOther_Current[Energy charge Block 1 '[c/kWh']],MATCH(Z$40,Rates_AllOther_Current[Code],0))</f>
        <v>0</v>
      </c>
      <c r="AA22" s="34"/>
      <c r="AB22" s="34" t="e">
        <f>INDEX(Rates_AllOther_Current[Energy charge Block 1 '[c/kWh']],MATCH(AB$40,Rates_AllOther_Current[Code],0))</f>
        <v>#N/A</v>
      </c>
      <c r="AC22" s="34" t="e">
        <f>INDEX(Rates_AllOther_Current[Energy charge Block 1 '[c/kWh']],MATCH(AC$40,Rates_AllOther_Current[Code],0))</f>
        <v>#N/A</v>
      </c>
      <c r="AD22" s="34" t="e">
        <f>INDEX(Rates_AllOther_Current[Energy charge Block 1 '[c/kWh']],MATCH(AD$40,Rates_AllOther_Current[Code],0))</f>
        <v>#N/A</v>
      </c>
      <c r="AE22" s="34" t="e">
        <f>INDEX(Rates_AllOther_Current[Energy charge Block 1 '[c/kWh']],MATCH(AE$40,Rates_AllOther_Current[Code],0))</f>
        <v>#N/A</v>
      </c>
      <c r="AF22" s="34">
        <f>INDEX(Rates_AllOther_Current[Energy charge Block 1 '[c/kWh']],MATCH(AF$40,Rates_AllOther_Current[Code],0))</f>
        <v>0</v>
      </c>
      <c r="AG22" s="34">
        <f>INDEX(Rates_AllOther_Current[Energy charge Block 1 '[c/kWh']],MATCH(AG$40,Rates_AllOther_Current[Code],0))</f>
        <v>0</v>
      </c>
      <c r="AH22" s="34">
        <f>INDEX(Rates_AllOther_Current[Energy charge Block 1 '[c/kWh']],MATCH(AH$40,Rates_AllOther_Current[Code],0))</f>
        <v>0</v>
      </c>
      <c r="AI22" s="34">
        <f>INDEX(Rates_AllOther_Current[Energy charge Block 1 '[c/kWh']],MATCH(AI$40,Rates_AllOther_Current[Code],0))</f>
        <v>0</v>
      </c>
      <c r="AK22" s="39">
        <f t="shared" ca="1" si="22"/>
        <v>0</v>
      </c>
      <c r="AL22" s="34">
        <f>INDEX(Rates_AllOther_New[Energy charge Block 1 '[c/kWh']],MATCH(AL$40,Rates_AllOther_New[Code],0))</f>
        <v>0</v>
      </c>
      <c r="AM22" s="34">
        <f>INDEX(Rates_AllOther_New[Energy charge Block 1 '[c/kWh']],MATCH(AM$40,Rates_AllOther_New[Code],0))</f>
        <v>0</v>
      </c>
      <c r="AN22" s="34">
        <f>INDEX(Rates_AllOther_New[Energy charge Block 1 '[c/kWh']],MATCH(AN$40,Rates_AllOther_New[Code],0))</f>
        <v>0</v>
      </c>
      <c r="AO22" s="34">
        <f>INDEX(Rates_AllOther_New[Energy charge Block 1 '[c/kWh']],MATCH(AO$40,Rates_AllOther_New[Code],0))</f>
        <v>0</v>
      </c>
      <c r="AP22" s="34">
        <f>INDEX(Rates_AllOther_New[Energy charge Block 1 '[c/kWh']],MATCH(AP$40,Rates_AllOther_New[Code],0))</f>
        <v>0</v>
      </c>
      <c r="AQ22" s="34">
        <f>INDEX(Rates_AllOther_New[Energy charge Block 1 '[c/kWh']],MATCH(AQ$40,Rates_AllOther_New[Code],0))</f>
        <v>0</v>
      </c>
      <c r="AR22" s="34">
        <f>INDEX(Rates_AllOther_New[Energy charge Block 1 '[c/kWh']],MATCH(AR$40,Rates_AllOther_New[Code],0))</f>
        <v>0</v>
      </c>
      <c r="AS22" s="34">
        <f>INDEX(Rates_AllOther_New[Energy charge Block 1 '[c/kWh']],MATCH(AS$40,Rates_AllOther_New[Code],0))</f>
        <v>0</v>
      </c>
      <c r="AT22" s="34">
        <f>INDEX(Rates_AllOther_New[Energy charge Block 1 '[c/kWh']],MATCH(AT$40,Rates_AllOther_New[Code],0))</f>
        <v>0</v>
      </c>
      <c r="AU22" s="34">
        <f>INDEX(Rates_AllOther_New[Energy charge Block 1 '[c/kWh']],MATCH(AU$40,Rates_AllOther_New[Code],0))</f>
        <v>0</v>
      </c>
      <c r="AV22" s="34">
        <f>INDEX(Rates_AllOther_New[Energy charge Block 1 '[c/kWh']],MATCH(AV$40,Rates_AllOther_New[Code],0))</f>
        <v>0</v>
      </c>
      <c r="AW22" s="34">
        <f>INDEX(Rates_AllOther_New[Energy charge Block 1 '[c/kWh']],MATCH(AW$40,Rates_AllOther_New[Code],0))</f>
        <v>0</v>
      </c>
      <c r="AX22" s="34">
        <f>INDEX(Rates_AllOther_New[Energy charge Block 1 '[c/kWh']],MATCH(AX$40,Rates_AllOther_New[Code],0))</f>
        <v>0</v>
      </c>
      <c r="AY22" s="34">
        <f>INDEX(Rates_AllOther_New[Energy charge Block 1 '[c/kWh']],MATCH(AY$40,Rates_AllOther_New[Code],0))</f>
        <v>0</v>
      </c>
      <c r="AZ22" s="34">
        <f>INDEX(Rates_AllOther_New[Energy charge Block 1 '[c/kWh']],MATCH(AZ$40,Rates_AllOther_New[Code],0))</f>
        <v>0</v>
      </c>
      <c r="BA22" s="34">
        <f>INDEX(Rates_AllOther_New[Energy charge Block 1 '[c/kWh']],MATCH(BA$40,Rates_AllOther_New[Code],0))</f>
        <v>0</v>
      </c>
      <c r="BB22" s="34">
        <f>INDEX(Rates_AllOther_New[Energy charge Block 1 '[c/kWh']],MATCH(BB$40,Rates_AllOther_New[Code],0))</f>
        <v>0</v>
      </c>
      <c r="BC22" s="34">
        <f>INDEX(Rates_AllOther_New[Energy charge Block 1 '[c/kWh']],MATCH(BC$40,Rates_AllOther_New[Code],0))</f>
        <v>0</v>
      </c>
      <c r="BD22" s="34">
        <f>INDEX(Rates_AllOther_New[Energy charge Block 1 '[c/kWh']],MATCH(BD$40,Rates_AllOther_New[Code],0))</f>
        <v>0</v>
      </c>
      <c r="BE22" s="34">
        <f>INDEX(Rates_AllOther_New[Energy charge Block 1 '[c/kWh']],MATCH(BE$40,Rates_AllOther_New[Code],0))</f>
        <v>0</v>
      </c>
      <c r="BF22" s="34">
        <f>INDEX(Rates_AllOther_New[Energy charge Block 1 '[c/kWh']],MATCH(BF$40,Rates_AllOther_New[Code],0))</f>
        <v>0</v>
      </c>
      <c r="BG22" s="34"/>
      <c r="BH22" s="34" t="e">
        <f>INDEX(Rates_AllOther_New[Energy charge Block 1 '[c/kWh']],MATCH(BH$40,Rates_AllOther_New[Code],0))</f>
        <v>#N/A</v>
      </c>
      <c r="BI22" s="34" t="e">
        <f>INDEX(Rates_AllOther_New[Energy charge Block 1 '[c/kWh']],MATCH(BI$40,Rates_AllOther_New[Code],0))</f>
        <v>#N/A</v>
      </c>
      <c r="BJ22" s="34" t="e">
        <f>INDEX(Rates_AllOther_New[Energy charge Block 1 '[c/kWh']],MATCH(BJ$40,Rates_AllOther_New[Code],0))</f>
        <v>#N/A</v>
      </c>
      <c r="BK22" s="34" t="e">
        <f>INDEX(Rates_AllOther_New[Energy charge Block 1 '[c/kWh']],MATCH(BK$40,Rates_AllOther_New[Code],0))</f>
        <v>#N/A</v>
      </c>
      <c r="BL22" s="34" t="str">
        <f>INDEX(Rates_AllOther_New[Energy charge Block 1 '[c/kWh']],MATCH(BL$40,Rates_AllOther_New[Code],0))</f>
        <v>n/a</v>
      </c>
      <c r="BM22" s="34" t="str">
        <f>INDEX(Rates_AllOther_New[Energy charge Block 1 '[c/kWh']],MATCH(BM$40,Rates_AllOther_New[Code],0))</f>
        <v>n/a</v>
      </c>
      <c r="BN22" s="34" t="str">
        <f>INDEX(Rates_AllOther_New[Energy charge Block 1 '[c/kWh']],MATCH(BN$40,Rates_AllOther_New[Code],0))</f>
        <v>n/a</v>
      </c>
      <c r="BO22" s="34" t="str">
        <f>INDEX(Rates_AllOther_New[Energy charge Block 1 '[c/kWh']],MATCH(BO$40,Rates_AllOther_New[Code],0))</f>
        <v>n/a</v>
      </c>
    </row>
    <row r="23" spans="2:67">
      <c r="C23" t="s">
        <v>127</v>
      </c>
      <c r="D23" s="21" t="s">
        <v>80</v>
      </c>
      <c r="E23" s="39">
        <f t="shared" ca="1" si="21"/>
        <v>0</v>
      </c>
      <c r="F23" s="34">
        <f>INDEX(Rates_AllOther_Current[Energy charge Block 2 '[c/kWh']],MATCH(F$40,Rates_AllOther_Current[Code],0))</f>
        <v>0</v>
      </c>
      <c r="G23" s="34">
        <f>INDEX(Rates_AllOther_Current[Energy charge Block 2 '[c/kWh']],MATCH(G$40,Rates_AllOther_Current[Code],0))</f>
        <v>0</v>
      </c>
      <c r="H23" s="34">
        <f>INDEX(Rates_AllOther_Current[Energy charge Block 2 '[c/kWh']],MATCH(H$40,Rates_AllOther_Current[Code],0))</f>
        <v>0</v>
      </c>
      <c r="I23" s="34">
        <f>INDEX(Rates_AllOther_Current[Energy charge Block 2 '[c/kWh']],MATCH(I$40,Rates_AllOther_Current[Code],0))</f>
        <v>0</v>
      </c>
      <c r="J23" s="34">
        <f>INDEX(Rates_AllOther_Current[Energy charge Block 2 '[c/kWh']],MATCH(J$40,Rates_AllOther_Current[Code],0))</f>
        <v>0</v>
      </c>
      <c r="K23" s="34">
        <f>INDEX(Rates_AllOther_Current[Energy charge Block 2 '[c/kWh']],MATCH(K$40,Rates_AllOther_Current[Code],0))</f>
        <v>0</v>
      </c>
      <c r="L23" s="34">
        <f>INDEX(Rates_AllOther_Current[Energy charge Block 2 '[c/kWh']],MATCH(L$40,Rates_AllOther_Current[Code],0))</f>
        <v>0</v>
      </c>
      <c r="M23" s="34">
        <f>INDEX(Rates_AllOther_Current[Energy charge Block 2 '[c/kWh']],MATCH(M$40,Rates_AllOther_Current[Code],0))</f>
        <v>0</v>
      </c>
      <c r="N23" s="34">
        <f>INDEX(Rates_AllOther_Current[Energy charge Block 2 '[c/kWh']],MATCH(N$40,Rates_AllOther_Current[Code],0))</f>
        <v>0</v>
      </c>
      <c r="O23" s="34">
        <f>INDEX(Rates_AllOther_Current[Energy charge Block 2 '[c/kWh']],MATCH(O$40,Rates_AllOther_Current[Code],0))</f>
        <v>0</v>
      </c>
      <c r="P23" s="34">
        <f>INDEX(Rates_AllOther_Current[Energy charge Block 2 '[c/kWh']],MATCH(P$40,Rates_AllOther_Current[Code],0))</f>
        <v>0</v>
      </c>
      <c r="Q23" s="34">
        <f>INDEX(Rates_AllOther_Current[Energy charge Block 2 '[c/kWh']],MATCH(Q$40,Rates_AllOther_Current[Code],0))</f>
        <v>0</v>
      </c>
      <c r="R23" s="34">
        <f>INDEX(Rates_AllOther_Current[Energy charge Block 2 '[c/kWh']],MATCH(R$40,Rates_AllOther_Current[Code],0))</f>
        <v>0</v>
      </c>
      <c r="S23" s="34">
        <f>INDEX(Rates_AllOther_Current[Energy charge Block 2 '[c/kWh']],MATCH(S$40,Rates_AllOther_Current[Code],0))</f>
        <v>0</v>
      </c>
      <c r="T23" s="34">
        <f>INDEX(Rates_AllOther_Current[Energy charge Block 2 '[c/kWh']],MATCH(T$40,Rates_AllOther_Current[Code],0))</f>
        <v>0</v>
      </c>
      <c r="U23" s="34">
        <f>INDEX(Rates_AllOther_Current[Energy charge Block 2 '[c/kWh']],MATCH(U$40,Rates_AllOther_Current[Code],0))</f>
        <v>0</v>
      </c>
      <c r="V23" s="34">
        <f>INDEX(Rates_AllOther_Current[Energy charge Block 2 '[c/kWh']],MATCH(V$40,Rates_AllOther_Current[Code],0))</f>
        <v>0</v>
      </c>
      <c r="W23" s="34">
        <f>INDEX(Rates_AllOther_Current[Energy charge Block 2 '[c/kWh']],MATCH(W$40,Rates_AllOther_Current[Code],0))</f>
        <v>0</v>
      </c>
      <c r="X23" s="34">
        <f>INDEX(Rates_AllOther_Current[Energy charge Block 2 '[c/kWh']],MATCH(X$40,Rates_AllOther_Current[Code],0))</f>
        <v>0</v>
      </c>
      <c r="Y23" s="34">
        <f>INDEX(Rates_AllOther_Current[Energy charge Block 2 '[c/kWh']],MATCH(Y$40,Rates_AllOther_Current[Code],0))</f>
        <v>0</v>
      </c>
      <c r="Z23" s="34">
        <f>INDEX(Rates_AllOther_Current[Energy charge Block 2 '[c/kWh']],MATCH(Z$40,Rates_AllOther_Current[Code],0))</f>
        <v>0</v>
      </c>
      <c r="AA23" s="34"/>
      <c r="AB23" s="34" t="e">
        <f>INDEX(Rates_AllOther_Current[Energy charge Block 2 '[c/kWh']],MATCH(AB$40,Rates_AllOther_Current[Code],0))</f>
        <v>#N/A</v>
      </c>
      <c r="AC23" s="34" t="e">
        <f>INDEX(Rates_AllOther_Current[Energy charge Block 2 '[c/kWh']],MATCH(AC$40,Rates_AllOther_Current[Code],0))</f>
        <v>#N/A</v>
      </c>
      <c r="AD23" s="34" t="e">
        <f>INDEX(Rates_AllOther_Current[Energy charge Block 2 '[c/kWh']],MATCH(AD$40,Rates_AllOther_Current[Code],0))</f>
        <v>#N/A</v>
      </c>
      <c r="AE23" s="34" t="e">
        <f>INDEX(Rates_AllOther_Current[Energy charge Block 2 '[c/kWh']],MATCH(AE$40,Rates_AllOther_Current[Code],0))</f>
        <v>#N/A</v>
      </c>
      <c r="AF23" s="34">
        <f>INDEX(Rates_AllOther_Current[Energy charge Block 2 '[c/kWh']],MATCH(AF$40,Rates_AllOther_Current[Code],0))</f>
        <v>0</v>
      </c>
      <c r="AG23" s="34">
        <f>INDEX(Rates_AllOther_Current[Energy charge Block 2 '[c/kWh']],MATCH(AG$40,Rates_AllOther_Current[Code],0))</f>
        <v>0</v>
      </c>
      <c r="AH23" s="34">
        <f>INDEX(Rates_AllOther_Current[Energy charge Block 2 '[c/kWh']],MATCH(AH$40,Rates_AllOther_Current[Code],0))</f>
        <v>0</v>
      </c>
      <c r="AI23" s="34">
        <f>INDEX(Rates_AllOther_Current[Energy charge Block 2 '[c/kWh']],MATCH(AI$40,Rates_AllOther_Current[Code],0))</f>
        <v>0</v>
      </c>
      <c r="AK23" s="39">
        <f t="shared" ca="1" si="22"/>
        <v>0</v>
      </c>
      <c r="AL23" s="34">
        <f>INDEX(Rates_AllOther_New[Energy charge Block 2 '[c/kWh']],MATCH(AL$40,Rates_AllOther_New[Code],0))</f>
        <v>0</v>
      </c>
      <c r="AM23" s="34">
        <f>INDEX(Rates_AllOther_New[Energy charge Block 2 '[c/kWh']],MATCH(AM$40,Rates_AllOther_New[Code],0))</f>
        <v>0</v>
      </c>
      <c r="AN23" s="34">
        <f>INDEX(Rates_AllOther_New[Energy charge Block 2 '[c/kWh']],MATCH(AN$40,Rates_AllOther_New[Code],0))</f>
        <v>0</v>
      </c>
      <c r="AO23" s="34">
        <f>INDEX(Rates_AllOther_New[Energy charge Block 2 '[c/kWh']],MATCH(AO$40,Rates_AllOther_New[Code],0))</f>
        <v>0</v>
      </c>
      <c r="AP23" s="34">
        <f>INDEX(Rates_AllOther_New[Energy charge Block 2 '[c/kWh']],MATCH(AP$40,Rates_AllOther_New[Code],0))</f>
        <v>0</v>
      </c>
      <c r="AQ23" s="34">
        <f>INDEX(Rates_AllOther_New[Energy charge Block 2 '[c/kWh']],MATCH(AQ$40,Rates_AllOther_New[Code],0))</f>
        <v>0</v>
      </c>
      <c r="AR23" s="34">
        <f>INDEX(Rates_AllOther_New[Energy charge Block 2 '[c/kWh']],MATCH(AR$40,Rates_AllOther_New[Code],0))</f>
        <v>0</v>
      </c>
      <c r="AS23" s="34">
        <f>INDEX(Rates_AllOther_New[Energy charge Block 2 '[c/kWh']],MATCH(AS$40,Rates_AllOther_New[Code],0))</f>
        <v>0</v>
      </c>
      <c r="AT23" s="34">
        <f>INDEX(Rates_AllOther_New[Energy charge Block 2 '[c/kWh']],MATCH(AT$40,Rates_AllOther_New[Code],0))</f>
        <v>0</v>
      </c>
      <c r="AU23" s="34">
        <f>INDEX(Rates_AllOther_New[Energy charge Block 2 '[c/kWh']],MATCH(AU$40,Rates_AllOther_New[Code],0))</f>
        <v>0</v>
      </c>
      <c r="AV23" s="34">
        <f>INDEX(Rates_AllOther_New[Energy charge Block 2 '[c/kWh']],MATCH(AV$40,Rates_AllOther_New[Code],0))</f>
        <v>0</v>
      </c>
      <c r="AW23" s="34">
        <f>INDEX(Rates_AllOther_New[Energy charge Block 2 '[c/kWh']],MATCH(AW$40,Rates_AllOther_New[Code],0))</f>
        <v>0</v>
      </c>
      <c r="AX23" s="34">
        <f>INDEX(Rates_AllOther_New[Energy charge Block 2 '[c/kWh']],MATCH(AX$40,Rates_AllOther_New[Code],0))</f>
        <v>0</v>
      </c>
      <c r="AY23" s="34">
        <f>INDEX(Rates_AllOther_New[Energy charge Block 2 '[c/kWh']],MATCH(AY$40,Rates_AllOther_New[Code],0))</f>
        <v>0</v>
      </c>
      <c r="AZ23" s="34">
        <f>INDEX(Rates_AllOther_New[Energy charge Block 2 '[c/kWh']],MATCH(AZ$40,Rates_AllOther_New[Code],0))</f>
        <v>0</v>
      </c>
      <c r="BA23" s="34">
        <f>INDEX(Rates_AllOther_New[Energy charge Block 2 '[c/kWh']],MATCH(BA$40,Rates_AllOther_New[Code],0))</f>
        <v>0</v>
      </c>
      <c r="BB23" s="34">
        <f>INDEX(Rates_AllOther_New[Energy charge Block 2 '[c/kWh']],MATCH(BB$40,Rates_AllOther_New[Code],0))</f>
        <v>0</v>
      </c>
      <c r="BC23" s="34">
        <f>INDEX(Rates_AllOther_New[Energy charge Block 2 '[c/kWh']],MATCH(BC$40,Rates_AllOther_New[Code],0))</f>
        <v>0</v>
      </c>
      <c r="BD23" s="34">
        <f>INDEX(Rates_AllOther_New[Energy charge Block 2 '[c/kWh']],MATCH(BD$40,Rates_AllOther_New[Code],0))</f>
        <v>0</v>
      </c>
      <c r="BE23" s="34">
        <f>INDEX(Rates_AllOther_New[Energy charge Block 2 '[c/kWh']],MATCH(BE$40,Rates_AllOther_New[Code],0))</f>
        <v>0</v>
      </c>
      <c r="BF23" s="34">
        <f>INDEX(Rates_AllOther_New[Energy charge Block 2 '[c/kWh']],MATCH(BF$40,Rates_AllOther_New[Code],0))</f>
        <v>0</v>
      </c>
      <c r="BG23" s="34"/>
      <c r="BH23" s="34" t="e">
        <f>INDEX(Rates_AllOther_New[Energy charge Block 2 '[c/kWh']],MATCH(BH$40,Rates_AllOther_New[Code],0))</f>
        <v>#N/A</v>
      </c>
      <c r="BI23" s="34" t="e">
        <f>INDEX(Rates_AllOther_New[Energy charge Block 2 '[c/kWh']],MATCH(BI$40,Rates_AllOther_New[Code],0))</f>
        <v>#N/A</v>
      </c>
      <c r="BJ23" s="34" t="e">
        <f>INDEX(Rates_AllOther_New[Energy charge Block 2 '[c/kWh']],MATCH(BJ$40,Rates_AllOther_New[Code],0))</f>
        <v>#N/A</v>
      </c>
      <c r="BK23" s="34" t="e">
        <f>INDEX(Rates_AllOther_New[Energy charge Block 2 '[c/kWh']],MATCH(BK$40,Rates_AllOther_New[Code],0))</f>
        <v>#N/A</v>
      </c>
      <c r="BL23" s="34" t="str">
        <f>INDEX(Rates_AllOther_New[Energy charge Block 2 '[c/kWh']],MATCH(BL$40,Rates_AllOther_New[Code],0))</f>
        <v>n/a</v>
      </c>
      <c r="BM23" s="34" t="str">
        <f>INDEX(Rates_AllOther_New[Energy charge Block 2 '[c/kWh']],MATCH(BM$40,Rates_AllOther_New[Code],0))</f>
        <v>n/a</v>
      </c>
      <c r="BN23" s="34" t="str">
        <f>INDEX(Rates_AllOther_New[Energy charge Block 2 '[c/kWh']],MATCH(BN$40,Rates_AllOther_New[Code],0))</f>
        <v>n/a</v>
      </c>
      <c r="BO23" s="34" t="str">
        <f>INDEX(Rates_AllOther_New[Energy charge Block 2 '[c/kWh']],MATCH(BO$40,Rates_AllOther_New[Code],0))</f>
        <v>n/a</v>
      </c>
    </row>
    <row r="24" spans="2:67">
      <c r="C24" s="153" t="s">
        <v>373</v>
      </c>
      <c r="D24" s="154" t="s">
        <v>379</v>
      </c>
      <c r="E24" s="39">
        <f t="shared" ca="1" si="21"/>
        <v>1.98</v>
      </c>
      <c r="F24" s="34">
        <f>INDEX(Rates_AllOther_Current[Generation capacity charge '[R/POD/day']],MATCH(F$40,Rates_AllOther_Current[Code],0))</f>
        <v>1.98</v>
      </c>
      <c r="G24" s="34">
        <f>INDEX(Rates_AllOther_Current[Generation capacity charge '[R/POD/day']],MATCH(G$40,Rates_AllOther_Current[Code],0))</f>
        <v>2.95</v>
      </c>
      <c r="H24" s="34">
        <f>INDEX(Rates_AllOther_Current[Generation capacity charge '[R/POD/day']],MATCH(H$40,Rates_AllOther_Current[Code],0))</f>
        <v>7.37</v>
      </c>
      <c r="I24" s="34">
        <f>INDEX(Rates_AllOther_Current[Generation capacity charge '[R/POD/day']],MATCH(I$40,Rates_AllOther_Current[Code],0))</f>
        <v>0</v>
      </c>
      <c r="J24" s="34">
        <f>INDEX(Rates_AllOther_Current[Generation capacity charge '[R/POD/day']],MATCH(J$40,Rates_AllOther_Current[Code],0))</f>
        <v>0</v>
      </c>
      <c r="K24" s="34">
        <f>INDEX(Rates_AllOther_Current[Generation capacity charge '[R/POD/day']],MATCH(K$40,Rates_AllOther_Current[Code],0))</f>
        <v>0</v>
      </c>
      <c r="L24" s="34">
        <f>INDEX(Rates_AllOther_Current[Generation capacity charge '[R/POD/day']],MATCH(L$40,Rates_AllOther_Current[Code],0))</f>
        <v>0.72</v>
      </c>
      <c r="M24" s="34">
        <f>INDEX(Rates_AllOther_Current[Generation capacity charge '[R/POD/day']],MATCH(M$40,Rates_AllOther_Current[Code],0))</f>
        <v>1.27</v>
      </c>
      <c r="N24" s="34">
        <f>INDEX(Rates_AllOther_Current[Generation capacity charge '[R/POD/day']],MATCH(N$40,Rates_AllOther_Current[Code],0))</f>
        <v>3.1</v>
      </c>
      <c r="O24" s="34">
        <f>INDEX(Rates_AllOther_Current[Generation capacity charge '[R/POD/day']],MATCH(O$40,Rates_AllOther_Current[Code],0))</f>
        <v>0.47</v>
      </c>
      <c r="P24" s="34">
        <f>INDEX(Rates_AllOther_Current[Generation capacity charge '[R/POD/day']],MATCH(P$40,Rates_AllOther_Current[Code],0))</f>
        <v>4.78</v>
      </c>
      <c r="Q24" s="34">
        <f>INDEX(Rates_AllOther_Current[Generation capacity charge '[R/POD/day']],MATCH(Q$40,Rates_AllOther_Current[Code],0))</f>
        <v>2.71</v>
      </c>
      <c r="R24" s="34">
        <f>INDEX(Rates_AllOther_Current[Generation capacity charge '[R/POD/day']],MATCH(R$40,Rates_AllOther_Current[Code],0))</f>
        <v>5.37</v>
      </c>
      <c r="S24" s="34">
        <f>INDEX(Rates_AllOther_Current[Generation capacity charge '[R/POD/day']],MATCH(S$40,Rates_AllOther_Current[Code],0))</f>
        <v>10.5</v>
      </c>
      <c r="T24" s="34">
        <f>INDEX(Rates_AllOther_Current[Generation capacity charge '[R/POD/day']],MATCH(T$40,Rates_AllOther_Current[Code],0))</f>
        <v>1.78</v>
      </c>
      <c r="U24" s="34">
        <f>INDEX(Rates_AllOther_Current[Generation capacity charge '[R/POD/day']],MATCH(U$40,Rates_AllOther_Current[Code],0))</f>
        <v>0</v>
      </c>
      <c r="V24" s="34">
        <f>INDEX(Rates_AllOther_Current[Generation capacity charge '[R/POD/day']],MATCH(V$40,Rates_AllOther_Current[Code],0))</f>
        <v>0</v>
      </c>
      <c r="W24" s="34">
        <f>INDEX(Rates_AllOther_Current[Generation capacity charge '[R/POD/day']],MATCH(W$40,Rates_AllOther_Current[Code],0))</f>
        <v>0</v>
      </c>
      <c r="X24" s="34">
        <f>INDEX(Rates_AllOther_Current[Generation capacity charge '[R/POD/day']],MATCH(X$40,Rates_AllOther_Current[Code],0))</f>
        <v>0</v>
      </c>
      <c r="Y24" s="34">
        <f>INDEX(Rates_AllOther_Current[Generation capacity charge '[R/POD/day']],MATCH(Y$40,Rates_AllOther_Current[Code],0))</f>
        <v>0</v>
      </c>
      <c r="Z24" s="34">
        <f>INDEX(Rates_AllOther_Current[Generation capacity charge '[R/POD/day']],MATCH(Z$40,Rates_AllOther_Current[Code],0))</f>
        <v>0</v>
      </c>
      <c r="AA24" s="34"/>
      <c r="AB24" s="34" t="e">
        <f>INDEX(Rates_AllOther_Current[Generation capacity charge '[R/POD/day']],MATCH(AB$40,Rates_AllOther_Current[Code],0))</f>
        <v>#N/A</v>
      </c>
      <c r="AC24" s="34" t="e">
        <f>INDEX(Rates_AllOther_Current[Generation capacity charge '[R/POD/day']],MATCH(AC$40,Rates_AllOther_Current[Code],0))</f>
        <v>#N/A</v>
      </c>
      <c r="AD24" s="34" t="e">
        <f>INDEX(Rates_AllOther_Current[Generation capacity charge '[R/POD/day']],MATCH(AD$40,Rates_AllOther_Current[Code],0))</f>
        <v>#N/A</v>
      </c>
      <c r="AE24" s="34" t="e">
        <f>INDEX(Rates_AllOther_Current[Generation capacity charge '[R/POD/day']],MATCH(AE$40,Rates_AllOther_Current[Code],0))</f>
        <v>#N/A</v>
      </c>
      <c r="AF24" s="34">
        <f>INDEX(Rates_AllOther_Current[Generation capacity charge '[R/POD/day']],MATCH(AF$40,Rates_AllOther_Current[Code],0))</f>
        <v>0.72</v>
      </c>
      <c r="AG24" s="34">
        <f>INDEX(Rates_AllOther_Current[Generation capacity charge '[R/POD/day']],MATCH(AG$40,Rates_AllOther_Current[Code],0))</f>
        <v>1.27</v>
      </c>
      <c r="AH24" s="34">
        <f>INDEX(Rates_AllOther_Current[Generation capacity charge '[R/POD/day']],MATCH(AH$40,Rates_AllOther_Current[Code],0))</f>
        <v>3.1</v>
      </c>
      <c r="AI24" s="34">
        <f>INDEX(Rates_AllOther_Current[Generation capacity charge '[R/POD/day']],MATCH(AI$40,Rates_AllOther_Current[Code],0))</f>
        <v>0.47</v>
      </c>
      <c r="AK24" s="39">
        <f t="shared" ca="1" si="22"/>
        <v>3</v>
      </c>
      <c r="AL24" s="18">
        <f>INDEX(Rates_AllOther_New[Generation capacity charge '[R/POD/day']],MATCH(AL$40,Rates_AllOther_New[Code],0))</f>
        <v>3</v>
      </c>
      <c r="AM24" s="34">
        <f>INDEX(Rates_AllOther_New[Generation capacity charge '[R/POD/day']],MATCH(AM$40,Rates_AllOther_New[Code],0))</f>
        <v>4.4800000000000004</v>
      </c>
      <c r="AN24" s="34">
        <f>INDEX(Rates_AllOther_New[Generation capacity charge '[R/POD/day']],MATCH(AN$40,Rates_AllOther_New[Code],0))</f>
        <v>11.18</v>
      </c>
      <c r="AO24" s="34">
        <f>INDEX(Rates_AllOther_New[Generation capacity charge '[R/POD/day']],MATCH(AO$40,Rates_AllOther_New[Code],0))</f>
        <v>0</v>
      </c>
      <c r="AP24" s="34">
        <f>INDEX(Rates_AllOther_New[Generation capacity charge '[R/POD/day']],MATCH(AP$40,Rates_AllOther_New[Code],0))</f>
        <v>0</v>
      </c>
      <c r="AQ24" s="34">
        <f>INDEX(Rates_AllOther_New[Generation capacity charge '[R/POD/day']],MATCH(AQ$40,Rates_AllOther_New[Code],0))</f>
        <v>0</v>
      </c>
      <c r="AR24" s="34">
        <f>INDEX(Rates_AllOther_New[Generation capacity charge '[R/POD/day']],MATCH(AR$40,Rates_AllOther_New[Code],0))</f>
        <v>1.0900000000000001</v>
      </c>
      <c r="AS24" s="34">
        <f>INDEX(Rates_AllOther_New[Generation capacity charge '[R/POD/day']],MATCH(AS$40,Rates_AllOther_New[Code],0))</f>
        <v>1.93</v>
      </c>
      <c r="AT24" s="34">
        <f>INDEX(Rates_AllOther_New[Generation capacity charge '[R/POD/day']],MATCH(AT$40,Rates_AllOther_New[Code],0))</f>
        <v>4.7</v>
      </c>
      <c r="AU24" s="34">
        <f>INDEX(Rates_AllOther_New[Generation capacity charge '[R/POD/day']],MATCH(AU$40,Rates_AllOther_New[Code],0))</f>
        <v>0.71</v>
      </c>
      <c r="AV24" s="34">
        <f>INDEX(Rates_AllOther_New[Generation capacity charge '[R/POD/day']],MATCH(AV$40,Rates_AllOther_New[Code],0))</f>
        <v>7.25</v>
      </c>
      <c r="AW24" s="34">
        <f>INDEX(Rates_AllOther_New[Generation capacity charge '[R/POD/day']],MATCH(AW$40,Rates_AllOther_New[Code],0))</f>
        <v>4.1100000000000003</v>
      </c>
      <c r="AX24" s="34">
        <f>INDEX(Rates_AllOther_New[Generation capacity charge '[R/POD/day']],MATCH(AX$40,Rates_AllOther_New[Code],0))</f>
        <v>8.15</v>
      </c>
      <c r="AY24" s="34">
        <f>INDEX(Rates_AllOther_New[Generation capacity charge '[R/POD/day']],MATCH(AY$40,Rates_AllOther_New[Code],0))</f>
        <v>15.93</v>
      </c>
      <c r="AZ24" s="34">
        <f>INDEX(Rates_AllOther_New[Generation capacity charge '[R/POD/day']],MATCH(AZ$40,Rates_AllOther_New[Code],0))</f>
        <v>2.7</v>
      </c>
      <c r="BA24" s="34">
        <f>INDEX(Rates_AllOther_New[Generation capacity charge '[R/POD/day']],MATCH(BA$40,Rates_AllOther_New[Code],0))</f>
        <v>0</v>
      </c>
      <c r="BB24" s="34">
        <f>INDEX(Rates_AllOther_New[Generation capacity charge '[R/POD/day']],MATCH(BB$40,Rates_AllOther_New[Code],0))</f>
        <v>0</v>
      </c>
      <c r="BC24" s="34">
        <f>INDEX(Rates_AllOther_New[Generation capacity charge '[R/POD/day']],MATCH(BC$40,Rates_AllOther_New[Code],0))</f>
        <v>0</v>
      </c>
      <c r="BD24" s="34">
        <f>INDEX(Rates_AllOther_New[Generation capacity charge '[R/POD/day']],MATCH(BD$40,Rates_AllOther_New[Code],0))</f>
        <v>0</v>
      </c>
      <c r="BE24" s="34">
        <f>INDEX(Rates_AllOther_New[Generation capacity charge '[R/POD/day']],MATCH(BE$40,Rates_AllOther_New[Code],0))</f>
        <v>0</v>
      </c>
      <c r="BF24" s="34">
        <f>INDEX(Rates_AllOther_New[Generation capacity charge '[R/POD/day']],MATCH(BF$40,Rates_AllOther_New[Code],0))</f>
        <v>0</v>
      </c>
      <c r="BG24" s="34"/>
      <c r="BH24" s="34" t="e">
        <f>INDEX(Rates_AllOther_New[Generation capacity charge '[R/POD/day']],MATCH(BH$40,Rates_AllOther_New[Code],0))</f>
        <v>#N/A</v>
      </c>
      <c r="BI24" s="34" t="e">
        <f>INDEX(Rates_AllOther_New[Generation capacity charge '[R/POD/day']],MATCH(BI$40,Rates_AllOther_New[Code],0))</f>
        <v>#N/A</v>
      </c>
      <c r="BJ24" s="34" t="e">
        <f>INDEX(Rates_AllOther_New[Generation capacity charge '[R/POD/day']],MATCH(BJ$40,Rates_AllOther_New[Code],0))</f>
        <v>#N/A</v>
      </c>
      <c r="BK24" s="34" t="e">
        <f>INDEX(Rates_AllOther_New[Generation capacity charge '[R/POD/day']],MATCH(BK$40,Rates_AllOther_New[Code],0))</f>
        <v>#N/A</v>
      </c>
      <c r="BL24" s="34">
        <f>INDEX(Rates_AllOther_New[Generation capacity charge '[R/POD/day']],MATCH(BL$40,Rates_AllOther_New[Code],0))</f>
        <v>1.0900000000000001</v>
      </c>
      <c r="BM24" s="34">
        <f>INDEX(Rates_AllOther_New[Generation capacity charge '[R/POD/day']],MATCH(BM$40,Rates_AllOther_New[Code],0))</f>
        <v>1.93</v>
      </c>
      <c r="BN24" s="34">
        <f>INDEX(Rates_AllOther_New[Generation capacity charge '[R/POD/day']],MATCH(BN$40,Rates_AllOther_New[Code],0))</f>
        <v>4.7</v>
      </c>
      <c r="BO24" s="34">
        <f>INDEX(Rates_AllOther_New[Generation capacity charge '[R/POD/day']],MATCH(BO$40,Rates_AllOther_New[Code],0))</f>
        <v>0.71</v>
      </c>
    </row>
    <row r="25" spans="2:67">
      <c r="C25" s="153" t="s">
        <v>374</v>
      </c>
      <c r="D25" s="154" t="s">
        <v>80</v>
      </c>
      <c r="E25" s="39">
        <f t="shared" ca="1" si="21"/>
        <v>0</v>
      </c>
      <c r="F25" s="34">
        <f>INDEX(Rates_AllOther_Current[Legacy charge '[c/kWh']],MATCH(F$40,Rates_AllOther_Current[Code],0))</f>
        <v>0</v>
      </c>
      <c r="G25" s="34">
        <f>INDEX(Rates_AllOther_Current[Legacy charge '[c/kWh']],MATCH(G$40,Rates_AllOther_Current[Code],0))</f>
        <v>0</v>
      </c>
      <c r="H25" s="34">
        <f>INDEX(Rates_AllOther_Current[Legacy charge '[c/kWh']],MATCH(H$40,Rates_AllOther_Current[Code],0))</f>
        <v>0</v>
      </c>
      <c r="I25" s="34">
        <f>INDEX(Rates_AllOther_Current[Legacy charge '[c/kWh']],MATCH(I$40,Rates_AllOther_Current[Code],0))</f>
        <v>0</v>
      </c>
      <c r="J25" s="34">
        <f>INDEX(Rates_AllOther_Current[Legacy charge '[c/kWh']],MATCH(J$40,Rates_AllOther_Current[Code],0))</f>
        <v>0</v>
      </c>
      <c r="K25" s="34">
        <f>INDEX(Rates_AllOther_Current[Legacy charge '[c/kWh']],MATCH(K$40,Rates_AllOther_Current[Code],0))</f>
        <v>0</v>
      </c>
      <c r="L25" s="34">
        <f>INDEX(Rates_AllOther_Current[Legacy charge '[c/kWh']],MATCH(L$40,Rates_AllOther_Current[Code],0))</f>
        <v>0</v>
      </c>
      <c r="M25" s="34">
        <f>INDEX(Rates_AllOther_Current[Legacy charge '[c/kWh']],MATCH(M$40,Rates_AllOther_Current[Code],0))</f>
        <v>0</v>
      </c>
      <c r="N25" s="34">
        <f>INDEX(Rates_AllOther_Current[Legacy charge '[c/kWh']],MATCH(N$40,Rates_AllOther_Current[Code],0))</f>
        <v>0</v>
      </c>
      <c r="O25" s="34">
        <f>INDEX(Rates_AllOther_Current[Legacy charge '[c/kWh']],MATCH(O$40,Rates_AllOther_Current[Code],0))</f>
        <v>0</v>
      </c>
      <c r="P25" s="34">
        <f>INDEX(Rates_AllOther_Current[Legacy charge '[c/kWh']],MATCH(P$40,Rates_AllOther_Current[Code],0))</f>
        <v>0</v>
      </c>
      <c r="Q25" s="34">
        <f>INDEX(Rates_AllOther_Current[Legacy charge '[c/kWh']],MATCH(Q$40,Rates_AllOther_Current[Code],0))</f>
        <v>0</v>
      </c>
      <c r="R25" s="34">
        <f>INDEX(Rates_AllOther_Current[Legacy charge '[c/kWh']],MATCH(R$40,Rates_AllOther_Current[Code],0))</f>
        <v>0</v>
      </c>
      <c r="S25" s="34">
        <f>INDEX(Rates_AllOther_Current[Legacy charge '[c/kWh']],MATCH(S$40,Rates_AllOther_Current[Code],0))</f>
        <v>0</v>
      </c>
      <c r="T25" s="34">
        <f>INDEX(Rates_AllOther_Current[Legacy charge '[c/kWh']],MATCH(T$40,Rates_AllOther_Current[Code],0))</f>
        <v>0</v>
      </c>
      <c r="U25" s="34">
        <f>INDEX(Rates_AllOther_Current[Legacy charge '[c/kWh']],MATCH(U$40,Rates_AllOther_Current[Code],0))</f>
        <v>0</v>
      </c>
      <c r="V25" s="34">
        <f>INDEX(Rates_AllOther_Current[Legacy charge '[c/kWh']],MATCH(V$40,Rates_AllOther_Current[Code],0))</f>
        <v>0</v>
      </c>
      <c r="W25" s="34">
        <f>INDEX(Rates_AllOther_Current[Legacy charge '[c/kWh']],MATCH(W$40,Rates_AllOther_Current[Code],0))</f>
        <v>0</v>
      </c>
      <c r="X25" s="34">
        <f>INDEX(Rates_AllOther_Current[Legacy charge '[c/kWh']],MATCH(X$40,Rates_AllOther_Current[Code],0))</f>
        <v>0</v>
      </c>
      <c r="Y25" s="34">
        <f>INDEX(Rates_AllOther_Current[Legacy charge '[c/kWh']],MATCH(Y$40,Rates_AllOther_Current[Code],0))</f>
        <v>0</v>
      </c>
      <c r="Z25" s="34">
        <f>INDEX(Rates_AllOther_Current[Legacy charge '[c/kWh']],MATCH(Z$40,Rates_AllOther_Current[Code],0))</f>
        <v>0</v>
      </c>
      <c r="AA25" s="34"/>
      <c r="AB25" s="34" t="e">
        <f>INDEX(Rates_AllOther_Current[Legacy charge '[c/kWh']],MATCH(AB$40,Rates_AllOther_Current[Code],0))</f>
        <v>#N/A</v>
      </c>
      <c r="AC25" s="34" t="e">
        <f>INDEX(Rates_AllOther_Current[Legacy charge '[c/kWh']],MATCH(AC$40,Rates_AllOther_Current[Code],0))</f>
        <v>#N/A</v>
      </c>
      <c r="AD25" s="34" t="e">
        <f>INDEX(Rates_AllOther_Current[Legacy charge '[c/kWh']],MATCH(AD$40,Rates_AllOther_Current[Code],0))</f>
        <v>#N/A</v>
      </c>
      <c r="AE25" s="34" t="e">
        <f>INDEX(Rates_AllOther_Current[Legacy charge '[c/kWh']],MATCH(AE$40,Rates_AllOther_Current[Code],0))</f>
        <v>#N/A</v>
      </c>
      <c r="AF25" s="34">
        <f>INDEX(Rates_AllOther_Current[Legacy charge '[c/kWh']],MATCH(AF$40,Rates_AllOther_Current[Code],0))</f>
        <v>22.78</v>
      </c>
      <c r="AG25" s="34">
        <f>INDEX(Rates_AllOther_Current[Legacy charge '[c/kWh']],MATCH(AG$40,Rates_AllOther_Current[Code],0))</f>
        <v>22.78</v>
      </c>
      <c r="AH25" s="34">
        <f>INDEX(Rates_AllOther_Current[Legacy charge '[c/kWh']],MATCH(AH$40,Rates_AllOther_Current[Code],0))</f>
        <v>22.78</v>
      </c>
      <c r="AI25" s="34">
        <f>INDEX(Rates_AllOther_Current[Legacy charge '[c/kWh']],MATCH(AI$40,Rates_AllOther_Current[Code],0))</f>
        <v>22.78</v>
      </c>
      <c r="AK25" s="39">
        <f t="shared" ca="1" si="22"/>
        <v>0</v>
      </c>
      <c r="AL25" s="34">
        <f>INDEX(Rates_AllOther_New[Legacy charge '[c/kWh']],MATCH(AL$40,Rates_AllOther_New[Code],0))</f>
        <v>0</v>
      </c>
      <c r="AM25" s="34">
        <f>INDEX(Rates_AllOther_New[Legacy charge '[c/kWh']],MATCH(AM$40,Rates_AllOther_New[Code],0))</f>
        <v>0</v>
      </c>
      <c r="AN25" s="34">
        <f>INDEX(Rates_AllOther_New[Legacy charge '[c/kWh']],MATCH(AN$40,Rates_AllOther_New[Code],0))</f>
        <v>0</v>
      </c>
      <c r="AO25" s="34">
        <f>INDEX(Rates_AllOther_New[Legacy charge '[c/kWh']],MATCH(AO$40,Rates_AllOther_New[Code],0))</f>
        <v>0</v>
      </c>
      <c r="AP25" s="34">
        <f>INDEX(Rates_AllOther_New[Legacy charge '[c/kWh']],MATCH(AP$40,Rates_AllOther_New[Code],0))</f>
        <v>0</v>
      </c>
      <c r="AQ25" s="34">
        <f>INDEX(Rates_AllOther_New[Legacy charge '[c/kWh']],MATCH(AQ$40,Rates_AllOther_New[Code],0))</f>
        <v>0</v>
      </c>
      <c r="AR25" s="34">
        <f>INDEX(Rates_AllOther_New[Legacy charge '[c/kWh']],MATCH(AR$40,Rates_AllOther_New[Code],0))</f>
        <v>0</v>
      </c>
      <c r="AS25" s="34">
        <f>INDEX(Rates_AllOther_New[Legacy charge '[c/kWh']],MATCH(AS$40,Rates_AllOther_New[Code],0))</f>
        <v>0</v>
      </c>
      <c r="AT25" s="34">
        <f>INDEX(Rates_AllOther_New[Legacy charge '[c/kWh']],MATCH(AT$40,Rates_AllOther_New[Code],0))</f>
        <v>0</v>
      </c>
      <c r="AU25" s="34">
        <f>INDEX(Rates_AllOther_New[Legacy charge '[c/kWh']],MATCH(AU$40,Rates_AllOther_New[Code],0))</f>
        <v>0</v>
      </c>
      <c r="AV25" s="34">
        <f>INDEX(Rates_AllOther_New[Legacy charge '[c/kWh']],MATCH(AV$40,Rates_AllOther_New[Code],0))</f>
        <v>0</v>
      </c>
      <c r="AW25" s="34">
        <f>INDEX(Rates_AllOther_New[Legacy charge '[c/kWh']],MATCH(AW$40,Rates_AllOther_New[Code],0))</f>
        <v>0</v>
      </c>
      <c r="AX25" s="34">
        <f>INDEX(Rates_AllOther_New[Legacy charge '[c/kWh']],MATCH(AX$40,Rates_AllOther_New[Code],0))</f>
        <v>0</v>
      </c>
      <c r="AY25" s="34">
        <f>INDEX(Rates_AllOther_New[Legacy charge '[c/kWh']],MATCH(AY$40,Rates_AllOther_New[Code],0))</f>
        <v>0</v>
      </c>
      <c r="AZ25" s="34">
        <f>INDEX(Rates_AllOther_New[Legacy charge '[c/kWh']],MATCH(AZ$40,Rates_AllOther_New[Code],0))</f>
        <v>0</v>
      </c>
      <c r="BA25" s="34">
        <f>INDEX(Rates_AllOther_New[Legacy charge '[c/kWh']],MATCH(BA$40,Rates_AllOther_New[Code],0))</f>
        <v>0</v>
      </c>
      <c r="BB25" s="34">
        <f>INDEX(Rates_AllOther_New[Legacy charge '[c/kWh']],MATCH(BB$40,Rates_AllOther_New[Code],0))</f>
        <v>0</v>
      </c>
      <c r="BC25" s="34">
        <f>INDEX(Rates_AllOther_New[Legacy charge '[c/kWh']],MATCH(BC$40,Rates_AllOther_New[Code],0))</f>
        <v>0</v>
      </c>
      <c r="BD25" s="34">
        <f>INDEX(Rates_AllOther_New[Legacy charge '[c/kWh']],MATCH(BD$40,Rates_AllOther_New[Code],0))</f>
        <v>0</v>
      </c>
      <c r="BE25" s="34">
        <f>INDEX(Rates_AllOther_New[Legacy charge '[c/kWh']],MATCH(BE$40,Rates_AllOther_New[Code],0))</f>
        <v>0</v>
      </c>
      <c r="BF25" s="34">
        <f>INDEX(Rates_AllOther_New[Legacy charge '[c/kWh']],MATCH(BF$40,Rates_AllOther_New[Code],0))</f>
        <v>0</v>
      </c>
      <c r="BG25" s="34"/>
      <c r="BH25" s="34" t="e">
        <f>INDEX(Rates_AllOther_New[Legacy charge '[c/kWh']],MATCH(BH$40,Rates_AllOther_New[Code],0))</f>
        <v>#N/A</v>
      </c>
      <c r="BI25" s="34" t="e">
        <f>INDEX(Rates_AllOther_New[Legacy charge '[c/kWh']],MATCH(BI$40,Rates_AllOther_New[Code],0))</f>
        <v>#N/A</v>
      </c>
      <c r="BJ25" s="34" t="e">
        <f>INDEX(Rates_AllOther_New[Legacy charge '[c/kWh']],MATCH(BJ$40,Rates_AllOther_New[Code],0))</f>
        <v>#N/A</v>
      </c>
      <c r="BK25" s="34" t="e">
        <f>INDEX(Rates_AllOther_New[Legacy charge '[c/kWh']],MATCH(BK$40,Rates_AllOther_New[Code],0))</f>
        <v>#N/A</v>
      </c>
      <c r="BL25" s="34">
        <f>INDEX(Rates_AllOther_New[Legacy charge '[c/kWh']],MATCH(BL$40,Rates_AllOther_New[Code],0))</f>
        <v>24.78</v>
      </c>
      <c r="BM25" s="34">
        <f>INDEX(Rates_AllOther_New[Legacy charge '[c/kWh']],MATCH(BM$40,Rates_AllOther_New[Code],0))</f>
        <v>24.78</v>
      </c>
      <c r="BN25" s="34">
        <f>INDEX(Rates_AllOther_New[Legacy charge '[c/kWh']],MATCH(BN$40,Rates_AllOther_New[Code],0))</f>
        <v>24.78</v>
      </c>
      <c r="BO25" s="34">
        <f>INDEX(Rates_AllOther_New[Legacy charge '[c/kWh']],MATCH(BO$40,Rates_AllOther_New[Code],0))</f>
        <v>24.78</v>
      </c>
    </row>
    <row r="26" spans="2:67" ht="19.2" customHeight="1"/>
    <row r="27" spans="2:67">
      <c r="B27" s="6" t="s">
        <v>83</v>
      </c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</row>
    <row r="29" spans="2:67" ht="22.8">
      <c r="B29" s="17" t="s">
        <v>93</v>
      </c>
      <c r="C29" s="17"/>
      <c r="D29" s="16" t="s">
        <v>81</v>
      </c>
      <c r="E29" s="16" t="str">
        <f>E$8</f>
        <v>2025/26 Rates</v>
      </c>
      <c r="F29" s="16" t="str">
        <f t="shared" ref="F29:AI29" si="23">F$8</f>
        <v>2025/26 Rates</v>
      </c>
      <c r="G29" s="16" t="str">
        <f t="shared" si="23"/>
        <v>2025/26 Rates</v>
      </c>
      <c r="H29" s="16" t="str">
        <f t="shared" si="23"/>
        <v>2025/26 Rates</v>
      </c>
      <c r="I29" s="16" t="str">
        <f t="shared" si="23"/>
        <v>2025/26 Rates</v>
      </c>
      <c r="J29" s="16" t="str">
        <f t="shared" si="23"/>
        <v>2025/26 Rates</v>
      </c>
      <c r="K29" s="16" t="str">
        <f t="shared" si="23"/>
        <v>2025/26 Rates</v>
      </c>
      <c r="L29" s="16" t="str">
        <f t="shared" si="23"/>
        <v>2025/26 Rates</v>
      </c>
      <c r="M29" s="16" t="str">
        <f t="shared" si="23"/>
        <v>2025/26 Rates</v>
      </c>
      <c r="N29" s="16" t="str">
        <f t="shared" si="23"/>
        <v>2025/26 Rates</v>
      </c>
      <c r="O29" s="16" t="str">
        <f t="shared" si="23"/>
        <v>2025/26 Rates</v>
      </c>
      <c r="P29" s="16" t="str">
        <f t="shared" si="23"/>
        <v>2025/26 Rates</v>
      </c>
      <c r="Q29" s="16" t="str">
        <f t="shared" si="23"/>
        <v>2025/26 Rates</v>
      </c>
      <c r="R29" s="16" t="str">
        <f t="shared" si="23"/>
        <v>2025/26 Rates</v>
      </c>
      <c r="S29" s="16" t="str">
        <f t="shared" si="23"/>
        <v>2025/26 Rates</v>
      </c>
      <c r="T29" s="16" t="str">
        <f t="shared" si="23"/>
        <v>2025/26 Rates</v>
      </c>
      <c r="U29" s="16" t="str">
        <f t="shared" si="23"/>
        <v>2025/26 Rates</v>
      </c>
      <c r="V29" s="16" t="str">
        <f t="shared" si="23"/>
        <v>2025/26 Rates</v>
      </c>
      <c r="W29" s="16" t="str">
        <f t="shared" si="23"/>
        <v>2025/26 Rates</v>
      </c>
      <c r="X29" s="16" t="str">
        <f t="shared" si="23"/>
        <v>2025/26 Rates</v>
      </c>
      <c r="Y29" s="16" t="str">
        <f t="shared" si="23"/>
        <v>2025/26 Rates</v>
      </c>
      <c r="Z29" s="16" t="str">
        <f t="shared" si="23"/>
        <v>2025/26 Rates</v>
      </c>
      <c r="AA29" s="16" t="s">
        <v>401</v>
      </c>
      <c r="AB29" s="16" t="s">
        <v>401</v>
      </c>
      <c r="AC29" s="16" t="s">
        <v>401</v>
      </c>
      <c r="AD29" s="16" t="s">
        <v>401</v>
      </c>
      <c r="AE29" s="16" t="s">
        <v>401</v>
      </c>
      <c r="AF29" s="16" t="str">
        <f t="shared" si="23"/>
        <v>2025/26 Rates</v>
      </c>
      <c r="AG29" s="16" t="str">
        <f t="shared" si="23"/>
        <v>2025/26 Rates</v>
      </c>
      <c r="AH29" s="16" t="str">
        <f t="shared" si="23"/>
        <v>2025/26 Rates</v>
      </c>
      <c r="AI29" s="16" t="str">
        <f t="shared" si="23"/>
        <v>2025/26 Rates</v>
      </c>
      <c r="AK29" s="16" t="str">
        <f>AK$8</f>
        <v>2026/27 Rates</v>
      </c>
      <c r="AL29" s="16" t="str">
        <f t="shared" ref="AL29:BO29" si="24">AL$8</f>
        <v>2026/27 Rates</v>
      </c>
      <c r="AM29" s="16" t="str">
        <f t="shared" si="24"/>
        <v>2026/27 Rates</v>
      </c>
      <c r="AN29" s="16" t="str">
        <f t="shared" si="24"/>
        <v>2026/27 Rates</v>
      </c>
      <c r="AO29" s="16" t="str">
        <f t="shared" si="24"/>
        <v>2026/27 Rates</v>
      </c>
      <c r="AP29" s="16" t="str">
        <f t="shared" si="24"/>
        <v>2026/27 Rates</v>
      </c>
      <c r="AQ29" s="16" t="str">
        <f t="shared" si="24"/>
        <v>2026/27 Rates</v>
      </c>
      <c r="AR29" s="16" t="str">
        <f t="shared" si="24"/>
        <v>2026/27 Rates</v>
      </c>
      <c r="AS29" s="16" t="str">
        <f t="shared" si="24"/>
        <v>2026/27 Rates</v>
      </c>
      <c r="AT29" s="16" t="str">
        <f t="shared" si="24"/>
        <v>2026/27 Rates</v>
      </c>
      <c r="AU29" s="16" t="str">
        <f t="shared" si="24"/>
        <v>2026/27 Rates</v>
      </c>
      <c r="AV29" s="16" t="str">
        <f t="shared" si="24"/>
        <v>2026/27 Rates</v>
      </c>
      <c r="AW29" s="16" t="str">
        <f t="shared" si="24"/>
        <v>2026/27 Rates</v>
      </c>
      <c r="AX29" s="16" t="str">
        <f t="shared" si="24"/>
        <v>2026/27 Rates</v>
      </c>
      <c r="AY29" s="16" t="str">
        <f t="shared" si="24"/>
        <v>2026/27 Rates</v>
      </c>
      <c r="AZ29" s="16" t="str">
        <f t="shared" si="24"/>
        <v>2026/27 Rates</v>
      </c>
      <c r="BA29" s="16" t="str">
        <f t="shared" si="24"/>
        <v>2026/27 Rates</v>
      </c>
      <c r="BB29" s="16" t="str">
        <f t="shared" si="24"/>
        <v>2026/27 Rates</v>
      </c>
      <c r="BC29" s="16" t="str">
        <f t="shared" si="24"/>
        <v>2026/27 Rates</v>
      </c>
      <c r="BD29" s="16" t="str">
        <f t="shared" si="24"/>
        <v>2026/27 Rates</v>
      </c>
      <c r="BE29" s="16" t="str">
        <f t="shared" si="24"/>
        <v>2026/27 Rates</v>
      </c>
      <c r="BF29" s="16" t="str">
        <f t="shared" si="24"/>
        <v>2026/27 Rates</v>
      </c>
      <c r="BG29" s="16" t="s">
        <v>402</v>
      </c>
      <c r="BH29" s="16" t="str">
        <f t="shared" si="24"/>
        <v>2026/27 Rates</v>
      </c>
      <c r="BI29" s="16" t="str">
        <f t="shared" si="24"/>
        <v>2026/27 Rates</v>
      </c>
      <c r="BJ29" s="16" t="str">
        <f t="shared" si="24"/>
        <v>2026/27 Rates</v>
      </c>
      <c r="BK29" s="16" t="str">
        <f t="shared" si="24"/>
        <v>2026/27 Rates</v>
      </c>
      <c r="BL29" s="16" t="str">
        <f t="shared" si="24"/>
        <v>2026/27 Rates</v>
      </c>
      <c r="BM29" s="16" t="str">
        <f t="shared" si="24"/>
        <v>2026/27 Rates</v>
      </c>
      <c r="BN29" s="16" t="str">
        <f t="shared" si="24"/>
        <v>2026/27 Rates</v>
      </c>
      <c r="BO29" s="16" t="str">
        <f t="shared" si="24"/>
        <v>2026/27 Rates</v>
      </c>
    </row>
    <row r="30" spans="2:67" ht="3.9" customHeight="1"/>
    <row r="31" spans="2:67">
      <c r="C31" t="s">
        <v>255</v>
      </c>
      <c r="D31" s="21" t="s">
        <v>80</v>
      </c>
      <c r="E31" s="39">
        <f ca="1">SUMIFS(F31:AI31,$F$7:$AI$7,$F$2)</f>
        <v>0.41</v>
      </c>
      <c r="F31" s="18">
        <f>INDEX(Rates_AllOther_Current[Ancillary service charge '[c/kWh']],MATCH(F$40,Rates_AllOther_Current[Code],0))</f>
        <v>0.41</v>
      </c>
      <c r="G31" s="18">
        <f>INDEX(Rates_AllOther_Current[Ancillary service charge '[c/kWh']],MATCH(G$40,Rates_AllOther_Current[Code],0))</f>
        <v>0.41</v>
      </c>
      <c r="H31" s="18">
        <f>INDEX(Rates_AllOther_Current[Ancillary service charge '[c/kWh']],MATCH(H$40,Rates_AllOther_Current[Code],0))</f>
        <v>0.41</v>
      </c>
      <c r="I31" s="18">
        <f>INDEX(Rates_AllOther_Current[Ancillary service charge '[c/kWh']],MATCH(I$40,Rates_AllOther_Current[Code],0))</f>
        <v>0.41</v>
      </c>
      <c r="J31" s="18">
        <f>INDEX(Rates_AllOther_Current[Ancillary service charge '[c/kWh']],MATCH(J$40,Rates_AllOther_Current[Code],0))</f>
        <v>0</v>
      </c>
      <c r="K31" s="18">
        <f>INDEX(Rates_AllOther_Current[Ancillary service charge '[c/kWh']],MATCH(K$40,Rates_AllOther_Current[Code],0))</f>
        <v>0</v>
      </c>
      <c r="L31" s="18">
        <f>INDEX(Rates_AllOther_Current[Ancillary service charge '[c/kWh']],MATCH(L$40,Rates_AllOther_Current[Code],0))</f>
        <v>0.41</v>
      </c>
      <c r="M31" s="18">
        <f>INDEX(Rates_AllOther_Current[Ancillary service charge '[c/kWh']],MATCH(M$40,Rates_AllOther_Current[Code],0))</f>
        <v>0.41</v>
      </c>
      <c r="N31" s="18">
        <f>INDEX(Rates_AllOther_Current[Ancillary service charge '[c/kWh']],MATCH(N$40,Rates_AllOther_Current[Code],0))</f>
        <v>0.41</v>
      </c>
      <c r="O31" s="18">
        <f>INDEX(Rates_AllOther_Current[Ancillary service charge '[c/kWh']],MATCH(O$40,Rates_AllOther_Current[Code],0))</f>
        <v>0.41</v>
      </c>
      <c r="P31" s="18">
        <f>INDEX(Rates_AllOther_Current[Ancillary service charge '[c/kWh']],MATCH(P$40,Rates_AllOther_Current[Code],0))</f>
        <v>0.41</v>
      </c>
      <c r="Q31" s="18">
        <f>INDEX(Rates_AllOther_Current[Ancillary service charge '[c/kWh']],MATCH(Q$40,Rates_AllOther_Current[Code],0))</f>
        <v>0.41</v>
      </c>
      <c r="R31" s="18">
        <f>INDEX(Rates_AllOther_Current[Ancillary service charge '[c/kWh']],MATCH(R$40,Rates_AllOther_Current[Code],0))</f>
        <v>0.41</v>
      </c>
      <c r="S31" s="18">
        <f>INDEX(Rates_AllOther_Current[Ancillary service charge '[c/kWh']],MATCH(S$40,Rates_AllOther_Current[Code],0))</f>
        <v>0.41</v>
      </c>
      <c r="T31" s="18">
        <f>INDEX(Rates_AllOther_Current[Ancillary service charge '[c/kWh']],MATCH(T$40,Rates_AllOther_Current[Code],0))</f>
        <v>0.41</v>
      </c>
      <c r="U31" s="18">
        <f>INDEX(Rates_AllOther_Current[Ancillary service charge '[c/kWh']],MATCH(U$40,Rates_AllOther_Current[Code],0))</f>
        <v>0</v>
      </c>
      <c r="V31" s="18">
        <f>INDEX(Rates_AllOther_Current[Ancillary service charge '[c/kWh']],MATCH(V$40,Rates_AllOther_Current[Code],0))</f>
        <v>0</v>
      </c>
      <c r="W31" s="18">
        <f>INDEX(Rates_AllOther_Current[Ancillary service charge '[c/kWh']],MATCH(W$40,Rates_AllOther_Current[Code],0))</f>
        <v>0</v>
      </c>
      <c r="X31" s="18">
        <f>INDEX(Rates_AllOther_Current[Ancillary service charge '[c/kWh']],MATCH(X$40,Rates_AllOther_Current[Code],0))</f>
        <v>0</v>
      </c>
      <c r="Y31" s="18">
        <f>INDEX(Rates_AllOther_Current[Ancillary service charge '[c/kWh']],MATCH(Y$40,Rates_AllOther_Current[Code],0))</f>
        <v>0</v>
      </c>
      <c r="Z31" s="18">
        <f>INDEX(Rates_AllOther_Current[Ancillary service charge '[c/kWh']],MATCH(Z$40,Rates_AllOther_Current[Code],0))</f>
        <v>0</v>
      </c>
      <c r="AA31" s="18"/>
      <c r="AB31" s="18" t="e">
        <f>INDEX(Rates_AllOther_Current[Ancillary service charge '[c/kWh']],MATCH(AB$40,Rates_AllOther_Current[Code],0))</f>
        <v>#N/A</v>
      </c>
      <c r="AC31" s="18" t="e">
        <f>INDEX(Rates_AllOther_Current[Ancillary service charge '[c/kWh']],MATCH(AC$40,Rates_AllOther_Current[Code],0))</f>
        <v>#N/A</v>
      </c>
      <c r="AD31" s="18" t="e">
        <f>INDEX(Rates_AllOther_Current[Ancillary service charge '[c/kWh']],MATCH(AD$40,Rates_AllOther_Current[Code],0))</f>
        <v>#N/A</v>
      </c>
      <c r="AE31" s="18" t="e">
        <f>INDEX(Rates_AllOther_Current[Ancillary service charge '[c/kWh']],MATCH(AE$40,Rates_AllOther_Current[Code],0))</f>
        <v>#N/A</v>
      </c>
      <c r="AF31" s="18">
        <f>INDEX(Rates_AllOther_Current[Ancillary service charge '[c/kWh']],MATCH(AF$40,Rates_AllOther_Current[Code],0))</f>
        <v>0.41</v>
      </c>
      <c r="AG31" s="18">
        <f>INDEX(Rates_AllOther_Current[Ancillary service charge '[c/kWh']],MATCH(AG$40,Rates_AllOther_Current[Code],0))</f>
        <v>0.41</v>
      </c>
      <c r="AH31" s="18">
        <f>INDEX(Rates_AllOther_Current[Ancillary service charge '[c/kWh']],MATCH(AH$40,Rates_AllOther_Current[Code],0))</f>
        <v>0.41</v>
      </c>
      <c r="AI31" s="18">
        <f>INDEX(Rates_AllOther_Current[Ancillary service charge '[c/kWh']],MATCH(AI$40,Rates_AllOther_Current[Code],0))</f>
        <v>0.41</v>
      </c>
      <c r="AK31" s="39">
        <f ca="1">SUMIFS(AL31:BO31,$AL$7:$BO$7,Selected_Tariff_ID)</f>
        <v>0.45</v>
      </c>
      <c r="AL31" s="18">
        <f>INDEX(Rates_AllOther_New[Ancillary service charge '[c/kWh']],MATCH(AL$40,Rates_AllOther_New[Code],0))</f>
        <v>0.45</v>
      </c>
      <c r="AM31" s="18">
        <f>INDEX(Rates_AllOther_New[Ancillary service charge '[c/kWh']],MATCH(AM$40,Rates_AllOther_New[Code],0))</f>
        <v>0.45</v>
      </c>
      <c r="AN31" s="18">
        <f>INDEX(Rates_AllOther_New[Ancillary service charge '[c/kWh']],MATCH(AN$40,Rates_AllOther_New[Code],0))</f>
        <v>0.45</v>
      </c>
      <c r="AO31" s="18">
        <f>INDEX(Rates_AllOther_New[Ancillary service charge '[c/kWh']],MATCH(AO$40,Rates_AllOther_New[Code],0))</f>
        <v>0.45</v>
      </c>
      <c r="AP31" s="18">
        <f>INDEX(Rates_AllOther_New[Ancillary service charge '[c/kWh']],MATCH(AP$40,Rates_AllOther_New[Code],0))</f>
        <v>0</v>
      </c>
      <c r="AQ31" s="18">
        <f>INDEX(Rates_AllOther_New[Ancillary service charge '[c/kWh']],MATCH(AQ$40,Rates_AllOther_New[Code],0))</f>
        <v>0</v>
      </c>
      <c r="AR31" s="18">
        <f>INDEX(Rates_AllOther_New[Ancillary service charge '[c/kWh']],MATCH(AR$40,Rates_AllOther_New[Code],0))</f>
        <v>0.45</v>
      </c>
      <c r="AS31" s="18">
        <f>INDEX(Rates_AllOther_New[Ancillary service charge '[c/kWh']],MATCH(AS$40,Rates_AllOther_New[Code],0))</f>
        <v>0.45</v>
      </c>
      <c r="AT31" s="18">
        <f>INDEX(Rates_AllOther_New[Ancillary service charge '[c/kWh']],MATCH(AT$40,Rates_AllOther_New[Code],0))</f>
        <v>0.45</v>
      </c>
      <c r="AU31" s="18">
        <f>INDEX(Rates_AllOther_New[Ancillary service charge '[c/kWh']],MATCH(AU$40,Rates_AllOther_New[Code],0))</f>
        <v>0.45</v>
      </c>
      <c r="AV31" s="18">
        <f>INDEX(Rates_AllOther_New[Ancillary service charge '[c/kWh']],MATCH(AV$40,Rates_AllOther_New[Code],0))</f>
        <v>0.45</v>
      </c>
      <c r="AW31" s="18">
        <f>INDEX(Rates_AllOther_New[Ancillary service charge '[c/kWh']],MATCH(AW$40,Rates_AllOther_New[Code],0))</f>
        <v>0.45</v>
      </c>
      <c r="AX31" s="18">
        <f>INDEX(Rates_AllOther_New[Ancillary service charge '[c/kWh']],MATCH(AX$40,Rates_AllOther_New[Code],0))</f>
        <v>0.45</v>
      </c>
      <c r="AY31" s="18">
        <f>INDEX(Rates_AllOther_New[Ancillary service charge '[c/kWh']],MATCH(AY$40,Rates_AllOther_New[Code],0))</f>
        <v>0.45</v>
      </c>
      <c r="AZ31" s="18">
        <f>INDEX(Rates_AllOther_New[Ancillary service charge '[c/kWh']],MATCH(AZ$40,Rates_AllOther_New[Code],0))</f>
        <v>0.45</v>
      </c>
      <c r="BA31" s="18">
        <f>INDEX(Rates_AllOther_New[Ancillary service charge '[c/kWh']],MATCH(BA$40,Rates_AllOther_New[Code],0))</f>
        <v>0</v>
      </c>
      <c r="BB31" s="18">
        <f>INDEX(Rates_AllOther_New[Ancillary service charge '[c/kWh']],MATCH(BB$40,Rates_AllOther_New[Code],0))</f>
        <v>0</v>
      </c>
      <c r="BC31" s="18">
        <f>INDEX(Rates_AllOther_New[Ancillary service charge '[c/kWh']],MATCH(BC$40,Rates_AllOther_New[Code],0))</f>
        <v>0</v>
      </c>
      <c r="BD31" s="18">
        <f>INDEX(Rates_AllOther_New[Ancillary service charge '[c/kWh']],MATCH(BD$40,Rates_AllOther_New[Code],0))</f>
        <v>0</v>
      </c>
      <c r="BE31" s="18">
        <f>INDEX(Rates_AllOther_New[Ancillary service charge '[c/kWh']],MATCH(BE$40,Rates_AllOther_New[Code],0))</f>
        <v>0</v>
      </c>
      <c r="BF31" s="18">
        <f>INDEX(Rates_AllOther_New[Ancillary service charge '[c/kWh']],MATCH(BF$40,Rates_AllOther_New[Code],0))</f>
        <v>0</v>
      </c>
      <c r="BG31" s="18"/>
      <c r="BH31" s="18" t="e">
        <f>INDEX(Rates_AllOther_New[Ancillary service charge '[c/kWh']],MATCH(BH$40,Rates_AllOther_New[Code],0))</f>
        <v>#N/A</v>
      </c>
      <c r="BI31" s="18" t="e">
        <f>INDEX(Rates_AllOther_New[Ancillary service charge '[c/kWh']],MATCH(BI$40,Rates_AllOther_New[Code],0))</f>
        <v>#N/A</v>
      </c>
      <c r="BJ31" s="18" t="e">
        <f>INDEX(Rates_AllOther_New[Ancillary service charge '[c/kWh']],MATCH(BJ$40,Rates_AllOther_New[Code],0))</f>
        <v>#N/A</v>
      </c>
      <c r="BK31" s="18" t="e">
        <f>INDEX(Rates_AllOther_New[Ancillary service charge '[c/kWh']],MATCH(BK$40,Rates_AllOther_New[Code],0))</f>
        <v>#N/A</v>
      </c>
      <c r="BL31" s="18">
        <f>INDEX(Rates_AllOther_New[Ancillary service charge '[c/kWh']],MATCH(BL$40,Rates_AllOther_New[Code],0))</f>
        <v>0.45</v>
      </c>
      <c r="BM31" s="18">
        <f>INDEX(Rates_AllOther_New[Ancillary service charge '[c/kWh']],MATCH(BM$40,Rates_AllOther_New[Code],0))</f>
        <v>0.45</v>
      </c>
      <c r="BN31" s="18">
        <f>INDEX(Rates_AllOther_New[Ancillary service charge '[c/kWh']],MATCH(BN$40,Rates_AllOther_New[Code],0))</f>
        <v>0.45</v>
      </c>
      <c r="BO31" s="18">
        <f>INDEX(Rates_AllOther_New[Ancillary service charge '[c/kWh']],MATCH(BO$40,Rates_AllOther_New[Code],0))</f>
        <v>0.45</v>
      </c>
    </row>
    <row r="32" spans="2:67">
      <c r="C32" t="s">
        <v>84</v>
      </c>
      <c r="D32" s="21" t="str">
        <f ca="1">IF(Table_1=1,"R/day","R/day")</f>
        <v>R/day</v>
      </c>
      <c r="E32" s="39">
        <f ca="1">SUMIFS(F32:AI32,$F$7:$AI$7,$F$2)</f>
        <v>14.7</v>
      </c>
      <c r="F32" s="18">
        <f>INDEX(Rates_AllOther_Current[Service and administration charge '[R/POD/day']],MATCH(F$40,Rates_AllOther_Current[Code],0))</f>
        <v>14.7</v>
      </c>
      <c r="G32" s="18">
        <f>INDEX(Rates_AllOther_Current[Service and administration charge '[R/POD/day']],MATCH(G$40,Rates_AllOther_Current[Code],0))</f>
        <v>14.7</v>
      </c>
      <c r="H32" s="18">
        <f>INDEX(Rates_AllOther_Current[Service and administration charge '[R/POD/day']],MATCH(H$40,Rates_AllOther_Current[Code],0))</f>
        <v>14.7</v>
      </c>
      <c r="I32" s="18">
        <f>INDEX(Rates_AllOther_Current[Service and administration charge '[R/POD/day']],MATCH(I$40,Rates_AllOther_Current[Code],0))</f>
        <v>0</v>
      </c>
      <c r="J32" s="18">
        <f>INDEX(Rates_AllOther_Current[Service and administration charge '[R/POD/day']],MATCH(J$40,Rates_AllOther_Current[Code],0))</f>
        <v>0</v>
      </c>
      <c r="K32" s="18">
        <f>INDEX(Rates_AllOther_Current[Service and administration charge '[R/POD/day']],MATCH(K$40,Rates_AllOther_Current[Code],0))</f>
        <v>0</v>
      </c>
      <c r="L32" s="18">
        <f>INDEX(Rates_AllOther_Current[Service and administration charge '[R/POD/day']],MATCH(L$40,Rates_AllOther_Current[Code],0))</f>
        <v>3.27</v>
      </c>
      <c r="M32" s="18">
        <f>INDEX(Rates_AllOther_Current[Service and administration charge '[R/POD/day']],MATCH(M$40,Rates_AllOther_Current[Code],0))</f>
        <v>3.27</v>
      </c>
      <c r="N32" s="18">
        <f>INDEX(Rates_AllOther_Current[Service and administration charge '[R/POD/day']],MATCH(N$40,Rates_AllOther_Current[Code],0))</f>
        <v>3.27</v>
      </c>
      <c r="O32" s="18">
        <f>INDEX(Rates_AllOther_Current[Service and administration charge '[R/POD/day']],MATCH(O$40,Rates_AllOther_Current[Code],0))</f>
        <v>3.27</v>
      </c>
      <c r="P32" s="18">
        <f>INDEX(Rates_AllOther_Current[Service and administration charge '[R/POD/day']],MATCH(P$40,Rates_AllOther_Current[Code],0))</f>
        <v>3.27</v>
      </c>
      <c r="Q32" s="18">
        <f>INDEX(Rates_AllOther_Current[Service and administration charge '[R/POD/day']],MATCH(Q$40,Rates_AllOther_Current[Code],0))</f>
        <v>24.5</v>
      </c>
      <c r="R32" s="18">
        <f>INDEX(Rates_AllOther_Current[Service and administration charge '[R/POD/day']],MATCH(R$40,Rates_AllOther_Current[Code],0))</f>
        <v>24.5</v>
      </c>
      <c r="S32" s="18">
        <f>INDEX(Rates_AllOther_Current[Service and administration charge '[R/POD/day']],MATCH(S$40,Rates_AllOther_Current[Code],0))</f>
        <v>24.5</v>
      </c>
      <c r="T32" s="18">
        <f>INDEX(Rates_AllOther_Current[Service and administration charge '[R/POD/day']],MATCH(T$40,Rates_AllOther_Current[Code],0))</f>
        <v>0</v>
      </c>
      <c r="U32" s="18">
        <f>INDEX(Rates_AllOther_Current[Service and administration charge '[R/POD/day']],MATCH(U$40,Rates_AllOther_Current[Code],0))</f>
        <v>87</v>
      </c>
      <c r="V32" s="18">
        <f>INDEX(Rates_AllOther_Current[Service and administration charge '[R/POD/day']],MATCH(V$40,Rates_AllOther_Current[Code],0))</f>
        <v>0</v>
      </c>
      <c r="W32" s="18">
        <f>INDEX(Rates_AllOther_Current[Service and administration charge '[R/POD/day']],MATCH(W$40,Rates_AllOther_Current[Code],0))</f>
        <v>0</v>
      </c>
      <c r="X32" s="18">
        <f>INDEX(Rates_AllOther_Current[Service and administration charge '[R/POD/day']],MATCH(X$40,Rates_AllOther_Current[Code],0))</f>
        <v>0</v>
      </c>
      <c r="Y32" s="18">
        <f>INDEX(Rates_AllOther_Current[Service and administration charge '[R/POD/day']],MATCH(Y$40,Rates_AllOther_Current[Code],0))</f>
        <v>0</v>
      </c>
      <c r="Z32" s="18">
        <f>INDEX(Rates_AllOther_Current[Service and administration charge '[R/POD/day']],MATCH(Z$40,Rates_AllOther_Current[Code],0))</f>
        <v>32.299999999999997</v>
      </c>
      <c r="AA32" s="18"/>
      <c r="AB32" s="18" t="e">
        <f>INDEX(Rates_AllOther_Current[Service and administration charge '[R/POD/day']],MATCH(AB$40,Rates_AllOther_Current[Code],0))</f>
        <v>#N/A</v>
      </c>
      <c r="AC32" s="18" t="e">
        <f>INDEX(Rates_AllOther_Current[Service and administration charge '[R/POD/day']],MATCH(AC$40,Rates_AllOther_Current[Code],0))</f>
        <v>#N/A</v>
      </c>
      <c r="AD32" s="18" t="e">
        <f>INDEX(Rates_AllOther_Current[Service and administration charge '[R/POD/day']],MATCH(AD$40,Rates_AllOther_Current[Code],0))</f>
        <v>#N/A</v>
      </c>
      <c r="AE32" s="18" t="e">
        <f>INDEX(Rates_AllOther_Current[Service and administration charge '[R/POD/day']],MATCH(AE$40,Rates_AllOther_Current[Code],0))</f>
        <v>#N/A</v>
      </c>
      <c r="AF32" s="18">
        <f>INDEX(Rates_AllOther_Current[Service and administration charge '[R/POD/day']],MATCH(AF$40,Rates_AllOther_Current[Code],0))</f>
        <v>3.27</v>
      </c>
      <c r="AG32" s="18">
        <f>INDEX(Rates_AllOther_Current[Service and administration charge '[R/POD/day']],MATCH(AG$40,Rates_AllOther_Current[Code],0))</f>
        <v>3.27</v>
      </c>
      <c r="AH32" s="18">
        <f>INDEX(Rates_AllOther_Current[Service and administration charge '[R/POD/day']],MATCH(AH$40,Rates_AllOther_Current[Code],0))</f>
        <v>3.27</v>
      </c>
      <c r="AI32" s="18">
        <f>INDEX(Rates_AllOther_Current[Service and administration charge '[R/POD/day']],MATCH(AI$40,Rates_AllOther_Current[Code],0))</f>
        <v>3.27</v>
      </c>
      <c r="AK32" s="39">
        <f ca="1">SUMIFS(AL32:BO32,$AL$7:$BO$7,Selected_Tariff_ID)</f>
        <v>15.99</v>
      </c>
      <c r="AL32" s="18">
        <f>INDEX(Rates_AllOther_New[Service and administration charge '[R/POD/day']],MATCH(AL$40,Rates_AllOther_New[Code],0))</f>
        <v>15.99</v>
      </c>
      <c r="AM32" s="18">
        <f>INDEX(Rates_AllOther_New[Service and administration charge '[R/POD/day']],MATCH(AM$40,Rates_AllOther_New[Code],0))</f>
        <v>15.99</v>
      </c>
      <c r="AN32" s="18">
        <f>INDEX(Rates_AllOther_New[Service and administration charge '[R/POD/day']],MATCH(AN$40,Rates_AllOther_New[Code],0))</f>
        <v>15.99</v>
      </c>
      <c r="AO32" s="18">
        <f>INDEX(Rates_AllOther_New[Service and administration charge '[R/POD/day']],MATCH(AO$40,Rates_AllOther_New[Code],0))</f>
        <v>0</v>
      </c>
      <c r="AP32" s="18">
        <f>INDEX(Rates_AllOther_New[Service and administration charge '[R/POD/day']],MATCH(AP$40,Rates_AllOther_New[Code],0))</f>
        <v>0</v>
      </c>
      <c r="AQ32" s="18">
        <f>INDEX(Rates_AllOther_New[Service and administration charge '[R/POD/day']],MATCH(AQ$40,Rates_AllOther_New[Code],0))</f>
        <v>0</v>
      </c>
      <c r="AR32" s="18">
        <f>INDEX(Rates_AllOther_New[Service and administration charge '[R/POD/day']],MATCH(AR$40,Rates_AllOther_New[Code],0))</f>
        <v>5.74</v>
      </c>
      <c r="AS32" s="18">
        <f>INDEX(Rates_AllOther_New[Service and administration charge '[R/POD/day']],MATCH(AS$40,Rates_AllOther_New[Code],0))</f>
        <v>5.74</v>
      </c>
      <c r="AT32" s="18">
        <f>INDEX(Rates_AllOther_New[Service and administration charge '[R/POD/day']],MATCH(AT$40,Rates_AllOther_New[Code],0))</f>
        <v>5.74</v>
      </c>
      <c r="AU32" s="18">
        <f>INDEX(Rates_AllOther_New[Service and administration charge '[R/POD/day']],MATCH(AU$40,Rates_AllOther_New[Code],0))</f>
        <v>5.74</v>
      </c>
      <c r="AV32" s="18">
        <f>INDEX(Rates_AllOther_New[Service and administration charge '[R/POD/day']],MATCH(AV$40,Rates_AllOther_New[Code],0))</f>
        <v>5.74</v>
      </c>
      <c r="AW32" s="18">
        <f>INDEX(Rates_AllOther_New[Service and administration charge '[R/POD/day']],MATCH(AW$40,Rates_AllOther_New[Code],0))</f>
        <v>26.65</v>
      </c>
      <c r="AX32" s="18">
        <f>INDEX(Rates_AllOther_New[Service and administration charge '[R/POD/day']],MATCH(AX$40,Rates_AllOther_New[Code],0))</f>
        <v>26.65</v>
      </c>
      <c r="AY32" s="18">
        <f>INDEX(Rates_AllOther_New[Service and administration charge '[R/POD/day']],MATCH(AY$40,Rates_AllOther_New[Code],0))</f>
        <v>26.65</v>
      </c>
      <c r="AZ32" s="18">
        <f>INDEX(Rates_AllOther_New[Service and administration charge '[R/POD/day']],MATCH(AZ$40,Rates_AllOther_New[Code],0))</f>
        <v>0</v>
      </c>
      <c r="BA32" s="18">
        <f>INDEX(Rates_AllOther_New[Service and administration charge '[R/POD/day']],MATCH(BA$40,Rates_AllOther_New[Code],0))</f>
        <v>94.62</v>
      </c>
      <c r="BB32" s="18">
        <f>INDEX(Rates_AllOther_New[Service and administration charge '[R/POD/day']],MATCH(BB$40,Rates_AllOther_New[Code],0))</f>
        <v>0</v>
      </c>
      <c r="BC32" s="18">
        <f>INDEX(Rates_AllOther_New[Service and administration charge '[R/POD/day']],MATCH(BC$40,Rates_AllOther_New[Code],0))</f>
        <v>0</v>
      </c>
      <c r="BD32" s="18">
        <f>INDEX(Rates_AllOther_New[Service and administration charge '[R/POD/day']],MATCH(BD$40,Rates_AllOther_New[Code],0))</f>
        <v>0</v>
      </c>
      <c r="BE32" s="18">
        <f>INDEX(Rates_AllOther_New[Service and administration charge '[R/POD/day']],MATCH(BE$40,Rates_AllOther_New[Code],0))</f>
        <v>0</v>
      </c>
      <c r="BF32" s="18">
        <f>INDEX(Rates_AllOther_New[Service and administration charge '[R/POD/day']],MATCH(BF$40,Rates_AllOther_New[Code],0))</f>
        <v>35.130000000000003</v>
      </c>
      <c r="BG32" s="18"/>
      <c r="BH32" s="18" t="e">
        <f>INDEX(Rates_AllOther_New[Service and administration charge '[R/POD/day']],MATCH(BH$40,Rates_AllOther_New[Code],0))</f>
        <v>#N/A</v>
      </c>
      <c r="BI32" s="18" t="e">
        <f>INDEX(Rates_AllOther_New[Service and administration charge '[R/POD/day']],MATCH(BI$40,Rates_AllOther_New[Code],0))</f>
        <v>#N/A</v>
      </c>
      <c r="BJ32" s="18" t="e">
        <f>INDEX(Rates_AllOther_New[Service and administration charge '[R/POD/day']],MATCH(BJ$40,Rates_AllOther_New[Code],0))</f>
        <v>#N/A</v>
      </c>
      <c r="BK32" s="18" t="e">
        <f>INDEX(Rates_AllOther_New[Service and administration charge '[R/POD/day']],MATCH(BK$40,Rates_AllOther_New[Code],0))</f>
        <v>#N/A</v>
      </c>
      <c r="BL32" s="18">
        <f>INDEX(Rates_AllOther_New[Service and administration charge '[R/POD/day']],MATCH(BL$40,Rates_AllOther_New[Code],0))</f>
        <v>5.74</v>
      </c>
      <c r="BM32" s="18">
        <f>INDEX(Rates_AllOther_New[Service and administration charge '[R/POD/day']],MATCH(BM$40,Rates_AllOther_New[Code],0))</f>
        <v>5.74</v>
      </c>
      <c r="BN32" s="18">
        <f>INDEX(Rates_AllOther_New[Service and administration charge '[R/POD/day']],MATCH(BN$40,Rates_AllOther_New[Code],0))</f>
        <v>5.74</v>
      </c>
      <c r="BO32" s="18">
        <f>INDEX(Rates_AllOther_New[Service and administration charge '[R/POD/day']],MATCH(BO$40,Rates_AllOther_New[Code],0))</f>
        <v>5.74</v>
      </c>
    </row>
    <row r="33" spans="2:67">
      <c r="C33" t="s">
        <v>381</v>
      </c>
      <c r="D33" s="21" t="s">
        <v>80</v>
      </c>
      <c r="E33" s="39">
        <f ca="1">SUMIFS(F33:AI33,$F$7:$AI$7,$F$2)</f>
        <v>4.9400000000000004</v>
      </c>
      <c r="F33" s="18">
        <f>INDEX(Rates_AllOther_Current[Electrification and rural subsidy '[c/kWh']],MATCH(F$40,Rates_AllOther_Current[Code],0))</f>
        <v>4.9400000000000004</v>
      </c>
      <c r="G33" s="18">
        <f>INDEX(Rates_AllOther_Current[Electrification and rural subsidy '[c/kWh']],MATCH(G$40,Rates_AllOther_Current[Code],0))</f>
        <v>4.9400000000000004</v>
      </c>
      <c r="H33" s="18">
        <f>INDEX(Rates_AllOther_Current[Electrification and rural subsidy '[c/kWh']],MATCH(H$40,Rates_AllOther_Current[Code],0))</f>
        <v>4.9400000000000004</v>
      </c>
      <c r="I33" s="18">
        <f>INDEX(Rates_AllOther_Current[Electrification and rural subsidy '[c/kWh']],MATCH(I$40,Rates_AllOther_Current[Code],0))</f>
        <v>4.9400000000000004</v>
      </c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 t="e">
        <f>INDEX(Rates_AllOther_Current[Electrification and rural subsidy '[c/kWh']],MATCH(AB$40,Rates_AllOther_Current[Code],0))</f>
        <v>#N/A</v>
      </c>
      <c r="AC33" s="18" t="e">
        <f>INDEX(Rates_AllOther_Current[Electrification and rural subsidy '[c/kWh']],MATCH(AC$40,Rates_AllOther_Current[Code],0))</f>
        <v>#N/A</v>
      </c>
      <c r="AD33" s="18" t="e">
        <f>INDEX(Rates_AllOther_Current[Electrification and rural subsidy '[c/kWh']],MATCH(AD$40,Rates_AllOther_Current[Code],0))</f>
        <v>#N/A</v>
      </c>
      <c r="AE33" s="18" t="e">
        <f>INDEX(Rates_AllOther_Current[Electrification and rural subsidy '[c/kWh']],MATCH(AE$40,Rates_AllOther_Current[Code],0))</f>
        <v>#N/A</v>
      </c>
      <c r="AF33" s="18"/>
      <c r="AG33" s="18"/>
      <c r="AH33" s="18"/>
      <c r="AI33" s="18"/>
      <c r="AK33" s="39">
        <f ca="1">SUMIFS(AL33:BO33,$AL$7:$BO$7,Selected_Tariff_ID)</f>
        <v>5.37</v>
      </c>
      <c r="AL33" s="18">
        <f>INDEX(Rates_AllOther_New[Electrification and rural subsidy '[c/kWh']],MATCH(AL$40,Rates_AllOther_New[Code],0))</f>
        <v>5.37</v>
      </c>
      <c r="AM33" s="18">
        <f>INDEX(Rates_AllOther_New[Electrification and rural subsidy '[c/kWh']],MATCH(AM$40,Rates_AllOther_New[Code],0))</f>
        <v>5.37</v>
      </c>
      <c r="AN33" s="18">
        <f>INDEX(Rates_AllOther_New[Electrification and rural subsidy '[c/kWh']],MATCH(AN$40,Rates_AllOther_New[Code],0))</f>
        <v>5.37</v>
      </c>
      <c r="AO33" s="18">
        <f>INDEX(Rates_AllOther_New[Electrification and rural subsidy '[c/kWh']],MATCH(AO$40,Rates_AllOther_New[Code],0))</f>
        <v>5.37</v>
      </c>
      <c r="AP33" s="18">
        <f>INDEX(Rates_AllOther_New[Electrification and rural subsidy '[c/kWh']],MATCH(AP$40,Rates_AllOther_New[Code],0))</f>
        <v>0</v>
      </c>
      <c r="AQ33" s="18">
        <f>INDEX(Rates_AllOther_New[Electrification and rural subsidy '[c/kWh']],MATCH(AQ$40,Rates_AllOther_New[Code],0))</f>
        <v>0</v>
      </c>
      <c r="AR33" s="18">
        <f>INDEX(Rates_AllOther_New[Electrification and rural subsidy '[c/kWh']],MATCH(AR$40,Rates_AllOther_New[Code],0))</f>
        <v>0</v>
      </c>
      <c r="AS33" s="18">
        <f>INDEX(Rates_AllOther_New[Electrification and rural subsidy '[c/kWh']],MATCH(AS$40,Rates_AllOther_New[Code],0))</f>
        <v>0</v>
      </c>
      <c r="AT33" s="18">
        <f>INDEX(Rates_AllOther_New[Electrification and rural subsidy '[c/kWh']],MATCH(AT$40,Rates_AllOther_New[Code],0))</f>
        <v>0</v>
      </c>
      <c r="AU33" s="18">
        <f>INDEX(Rates_AllOther_New[Electrification and rural subsidy '[c/kWh']],MATCH(AU$40,Rates_AllOther_New[Code],0))</f>
        <v>0</v>
      </c>
      <c r="AV33" s="18">
        <f>INDEX(Rates_AllOther_New[Electrification and rural subsidy '[c/kWh']],MATCH(AV$40,Rates_AllOther_New[Code],0))</f>
        <v>0</v>
      </c>
      <c r="AW33" s="18">
        <f>INDEX(Rates_AllOther_New[Electrification and rural subsidy '[c/kWh']],MATCH(AW$40,Rates_AllOther_New[Code],0))</f>
        <v>0</v>
      </c>
      <c r="AX33" s="18">
        <f>INDEX(Rates_AllOther_New[Electrification and rural subsidy '[c/kWh']],MATCH(AX$40,Rates_AllOther_New[Code],0))</f>
        <v>0</v>
      </c>
      <c r="AY33" s="18">
        <f>INDEX(Rates_AllOther_New[Electrification and rural subsidy '[c/kWh']],MATCH(AY$40,Rates_AllOther_New[Code],0))</f>
        <v>0</v>
      </c>
      <c r="AZ33" s="18">
        <f>INDEX(Rates_AllOther_New[Electrification and rural subsidy '[c/kWh']],MATCH(AZ$40,Rates_AllOther_New[Code],0))</f>
        <v>0</v>
      </c>
      <c r="BA33" s="18">
        <f>INDEX(Rates_AllOther_New[Electrification and rural subsidy '[c/kWh']],MATCH(BA$40,Rates_AllOther_New[Code],0))</f>
        <v>0</v>
      </c>
      <c r="BB33" s="18">
        <f>INDEX(Rates_AllOther_New[Electrification and rural subsidy '[c/kWh']],MATCH(BB$40,Rates_AllOther_New[Code],0))</f>
        <v>0</v>
      </c>
      <c r="BC33" s="18">
        <f>INDEX(Rates_AllOther_New[Electrification and rural subsidy '[c/kWh']],MATCH(BC$40,Rates_AllOther_New[Code],0))</f>
        <v>0</v>
      </c>
      <c r="BD33" s="18">
        <f>INDEX(Rates_AllOther_New[Electrification and rural subsidy '[c/kWh']],MATCH(BD$40,Rates_AllOther_New[Code],0))</f>
        <v>0</v>
      </c>
      <c r="BE33" s="18">
        <f>INDEX(Rates_AllOther_New[Electrification and rural subsidy '[c/kWh']],MATCH(BE$40,Rates_AllOther_New[Code],0))</f>
        <v>0</v>
      </c>
      <c r="BF33" s="18">
        <f>INDEX(Rates_AllOther_New[Electrification and rural subsidy '[c/kWh']],MATCH(BF$40,Rates_AllOther_New[Code],0))</f>
        <v>0</v>
      </c>
      <c r="BG33" s="18"/>
      <c r="BH33" s="18" t="e">
        <f>INDEX(Rates_AllOther_New[Electrification and rural subsidy '[c/kWh']],MATCH(BH$40,Rates_AllOther_New[Code],0))</f>
        <v>#N/A</v>
      </c>
      <c r="BI33" s="18" t="e">
        <f>INDEX(Rates_AllOther_New[Electrification and rural subsidy '[c/kWh']],MATCH(BI$40,Rates_AllOther_New[Code],0))</f>
        <v>#N/A</v>
      </c>
      <c r="BJ33" s="18" t="e">
        <f>INDEX(Rates_AllOther_New[Electrification and rural subsidy '[c/kWh']],MATCH(BJ$40,Rates_AllOther_New[Code],0))</f>
        <v>#N/A</v>
      </c>
      <c r="BK33" s="18" t="e">
        <f>INDEX(Rates_AllOther_New[Electrification and rural subsidy '[c/kWh']],MATCH(BK$40,Rates_AllOther_New[Code],0))</f>
        <v>#N/A</v>
      </c>
      <c r="BL33" s="18">
        <f>INDEX(Rates_AllOther_New[Electrification and rural subsidy '[c/kWh']],MATCH(BL$40,Rates_AllOther_New[Code],0))</f>
        <v>0</v>
      </c>
      <c r="BM33" s="18">
        <f>INDEX(Rates_AllOther_New[Electrification and rural subsidy '[c/kWh']],MATCH(BM$40,Rates_AllOther_New[Code],0))</f>
        <v>0</v>
      </c>
      <c r="BN33" s="18">
        <f>INDEX(Rates_AllOther_New[Electrification and rural subsidy '[c/kWh']],MATCH(BN$40,Rates_AllOther_New[Code],0))</f>
        <v>0</v>
      </c>
      <c r="BO33" s="18">
        <f>INDEX(Rates_AllOther_New[Electrification and rural subsidy '[c/kWh']],MATCH(BO$40,Rates_AllOther_New[Code],0))</f>
        <v>0</v>
      </c>
    </row>
    <row r="34" spans="2:67" ht="12.6" customHeight="1"/>
    <row r="35" spans="2:67">
      <c r="B35" s="6" t="s">
        <v>94</v>
      </c>
      <c r="C35" s="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</row>
    <row r="37" spans="2:67">
      <c r="B37" s="2" t="s">
        <v>95</v>
      </c>
    </row>
    <row r="38" spans="2:67">
      <c r="C38" t="s">
        <v>183</v>
      </c>
      <c r="E38" t="str">
        <f t="shared" ref="E38" ca="1" si="25">E6&amp;"_"&amp;$D51&amp;"_"&amp;$D50&amp;"_"&amp;$D49</f>
        <v>Businessrate 1_Non-Local Authority_Not Applicable_&lt; 500V</v>
      </c>
      <c r="F38" t="str">
        <f t="shared" ref="F38:AI38" ca="1" si="26">F6&amp;"_"&amp;$D51&amp;"_"&amp;$D50&amp;"_"&amp;$D49</f>
        <v>Businessrate 1_Non-Local Authority_Not Applicable_&lt; 500V</v>
      </c>
      <c r="G38" t="str">
        <f t="shared" ca="1" si="26"/>
        <v>Businessrate 2_Non-Local Authority_Not Applicable_&lt; 500V</v>
      </c>
      <c r="H38" t="str">
        <f t="shared" ca="1" si="26"/>
        <v>Businessrate 3_Non-Local Authority_Not Applicable_&lt; 500V</v>
      </c>
      <c r="I38" t="str">
        <f t="shared" ca="1" si="26"/>
        <v>Businessrate 4_Non-Local Authority_Not Applicable_&lt; 500V</v>
      </c>
      <c r="J38" t="str">
        <f t="shared" ca="1" si="26"/>
        <v>Homelight 20A_Non-Local Authority_Not Applicable_&lt; 500V</v>
      </c>
      <c r="K38" t="str">
        <f t="shared" ca="1" si="26"/>
        <v>Homelight 60A_Non-Local Authority_Not Applicable_&lt; 500V</v>
      </c>
      <c r="L38" t="str">
        <f t="shared" ca="1" si="26"/>
        <v>Homepower 1_Non-Local Authority_Not Applicable_&lt; 500V</v>
      </c>
      <c r="M38" t="str">
        <f t="shared" ca="1" si="26"/>
        <v>Homepower 2_Non-Local Authority_Not Applicable_&lt; 500V</v>
      </c>
      <c r="N38" t="str">
        <f t="shared" ca="1" si="26"/>
        <v>Homepower 3_Non-Local Authority_Not Applicable_&lt; 500V</v>
      </c>
      <c r="O38" t="str">
        <f t="shared" ca="1" si="26"/>
        <v>Homepower 4_Non-Local Authority_Not Applicable_&lt; 500V</v>
      </c>
      <c r="P38" t="str">
        <f t="shared" ca="1" si="26"/>
        <v>Homepower Bulk_Non-Local Authority_Not Applicable_&lt; 500V</v>
      </c>
      <c r="Q38" t="str">
        <f t="shared" ca="1" si="26"/>
        <v>Landrate 1_Non-Local Authority_Not Applicable_&lt; 500V</v>
      </c>
      <c r="R38" t="str">
        <f t="shared" ca="1" si="26"/>
        <v>Landrate 2_Non-Local Authority_Not Applicable_&lt; 500V</v>
      </c>
      <c r="S38" t="str">
        <f t="shared" ca="1" si="26"/>
        <v>Landrate 3_Non-Local Authority_Not Applicable_&lt; 500V</v>
      </c>
      <c r="T38" t="str">
        <f t="shared" ca="1" si="26"/>
        <v>Landrate 4_Non-Local Authority_Not Applicable_&lt; 500V</v>
      </c>
      <c r="U38" t="str">
        <f t="shared" ca="1" si="26"/>
        <v>Landrate Dx_Non-Local Authority_Not Applicable_&lt; 500V</v>
      </c>
      <c r="V38" t="str">
        <f t="shared" ca="1" si="26"/>
        <v>Landlight 20A_Non-Local Authority_Not Applicable_&lt; 500V</v>
      </c>
      <c r="W38" t="str">
        <f t="shared" ca="1" si="26"/>
        <v>Landlight 60A_Non-Local Authority_Not Applicable_&lt; 500V</v>
      </c>
      <c r="X38" t="str">
        <f t="shared" ca="1" si="26"/>
        <v>Public Lighting All Night_Non-Local Authority_Not Applicable_&lt; 500V</v>
      </c>
      <c r="Y38" t="str">
        <f t="shared" ca="1" si="26"/>
        <v>Public Lighting 24 Hours_Non-Local Authority_Not Applicable_&lt; 500V</v>
      </c>
      <c r="Z38" t="str">
        <f ca="1">Z6&amp;"_"&amp;$D51&amp;"_"&amp;$D50&amp;"_"&amp;$D49</f>
        <v>Public Lighting Urban Fixed_Non-Local Authority_Not Applicable_&lt; 500V</v>
      </c>
      <c r="AA38" t="str">
        <f t="shared" ref="AA38:AD38" ca="1" si="27">AA6&amp;"_"&amp;$D51&amp;"_"&amp;$D50&amp;"_"&amp;$D49</f>
        <v>Municflex_Non-Local Authority_Not Applicable_&lt; 500V</v>
      </c>
      <c r="AB38" t="str">
        <f t="shared" ca="1" si="27"/>
        <v>Municrate 1_Non-Local Authority_Not Applicable_&lt; 500V</v>
      </c>
      <c r="AC38" t="str">
        <f t="shared" ca="1" si="27"/>
        <v>Municrate 2_Non-Local Authority_Not Applicable_&lt; 500V</v>
      </c>
      <c r="AD38" t="str">
        <f t="shared" ca="1" si="27"/>
        <v>Municrate 3_Non-Local Authority_Not Applicable_&lt; 500V</v>
      </c>
      <c r="AE38" t="str">
        <f t="shared" ref="AE38" ca="1" si="28">AE6&amp;"_"&amp;$D51&amp;"_"&amp;$D50&amp;"_"&amp;$D49</f>
        <v>Municrate 4_Non-Local Authority_Not Applicable_&lt; 500V</v>
      </c>
      <c r="AF38" t="str">
        <f t="shared" ca="1" si="26"/>
        <v>Homeflex 1_Non-Local Authority_Not Applicable_&lt; 500V</v>
      </c>
      <c r="AG38" t="str">
        <f t="shared" ca="1" si="26"/>
        <v>Homeflex 2_Non-Local Authority_Not Applicable_&lt; 500V</v>
      </c>
      <c r="AH38" t="str">
        <f t="shared" ca="1" si="26"/>
        <v>Homeflex 3_Non-Local Authority_Not Applicable_&lt; 500V</v>
      </c>
      <c r="AI38" t="str">
        <f t="shared" ca="1" si="26"/>
        <v>Homeflex 4_Non-Local Authority_Not Applicable_&lt; 500V</v>
      </c>
      <c r="AK38" t="str">
        <f t="shared" ref="AK38" ca="1" si="29">AK6&amp;"_"&amp;$D51&amp;"_"&amp;$D50&amp;"_"&amp;$D49</f>
        <v>Businessrate 1_Non-Local Authority_Not Applicable_&lt; 500V</v>
      </c>
      <c r="AL38" t="str">
        <f t="shared" ref="AL38:AU41" ca="1" si="30">F38</f>
        <v>Businessrate 1_Non-Local Authority_Not Applicable_&lt; 500V</v>
      </c>
      <c r="AM38" t="str">
        <f t="shared" ca="1" si="30"/>
        <v>Businessrate 2_Non-Local Authority_Not Applicable_&lt; 500V</v>
      </c>
      <c r="AN38" t="str">
        <f t="shared" ca="1" si="30"/>
        <v>Businessrate 3_Non-Local Authority_Not Applicable_&lt; 500V</v>
      </c>
      <c r="AO38" t="str">
        <f t="shared" ca="1" si="30"/>
        <v>Businessrate 4_Non-Local Authority_Not Applicable_&lt; 500V</v>
      </c>
      <c r="AP38" t="str">
        <f t="shared" ca="1" si="30"/>
        <v>Homelight 20A_Non-Local Authority_Not Applicable_&lt; 500V</v>
      </c>
      <c r="AQ38" t="str">
        <f t="shared" ca="1" si="30"/>
        <v>Homelight 60A_Non-Local Authority_Not Applicable_&lt; 500V</v>
      </c>
      <c r="AR38" t="str">
        <f t="shared" ca="1" si="30"/>
        <v>Homepower 1_Non-Local Authority_Not Applicable_&lt; 500V</v>
      </c>
      <c r="AS38" t="str">
        <f t="shared" ca="1" si="30"/>
        <v>Homepower 2_Non-Local Authority_Not Applicable_&lt; 500V</v>
      </c>
      <c r="AT38" t="str">
        <f t="shared" ca="1" si="30"/>
        <v>Homepower 3_Non-Local Authority_Not Applicable_&lt; 500V</v>
      </c>
      <c r="AU38" t="str">
        <f t="shared" ca="1" si="30"/>
        <v>Homepower 4_Non-Local Authority_Not Applicable_&lt; 500V</v>
      </c>
      <c r="AV38" t="str">
        <f t="shared" ref="AV38:BE41" ca="1" si="31">P38</f>
        <v>Homepower Bulk_Non-Local Authority_Not Applicable_&lt; 500V</v>
      </c>
      <c r="AW38" t="str">
        <f t="shared" ca="1" si="31"/>
        <v>Landrate 1_Non-Local Authority_Not Applicable_&lt; 500V</v>
      </c>
      <c r="AX38" t="str">
        <f t="shared" ca="1" si="31"/>
        <v>Landrate 2_Non-Local Authority_Not Applicable_&lt; 500V</v>
      </c>
      <c r="AY38" t="str">
        <f t="shared" ca="1" si="31"/>
        <v>Landrate 3_Non-Local Authority_Not Applicable_&lt; 500V</v>
      </c>
      <c r="AZ38" t="str">
        <f t="shared" ca="1" si="31"/>
        <v>Landrate 4_Non-Local Authority_Not Applicable_&lt; 500V</v>
      </c>
      <c r="BA38" t="str">
        <f t="shared" ca="1" si="31"/>
        <v>Landrate Dx_Non-Local Authority_Not Applicable_&lt; 500V</v>
      </c>
      <c r="BB38" t="str">
        <f t="shared" ca="1" si="31"/>
        <v>Landlight 20A_Non-Local Authority_Not Applicable_&lt; 500V</v>
      </c>
      <c r="BC38" t="str">
        <f t="shared" ca="1" si="31"/>
        <v>Landlight 60A_Non-Local Authority_Not Applicable_&lt; 500V</v>
      </c>
      <c r="BD38" t="str">
        <f t="shared" ca="1" si="31"/>
        <v>Public Lighting All Night_Non-Local Authority_Not Applicable_&lt; 500V</v>
      </c>
      <c r="BE38" t="str">
        <f t="shared" ca="1" si="31"/>
        <v>Public Lighting 24 Hours_Non-Local Authority_Not Applicable_&lt; 500V</v>
      </c>
      <c r="BF38" t="str">
        <f t="shared" ref="BF38:BK41" ca="1" si="32">Z38</f>
        <v>Public Lighting Urban Fixed_Non-Local Authority_Not Applicable_&lt; 500V</v>
      </c>
      <c r="BG38" t="str">
        <f t="shared" ca="1" si="32"/>
        <v>Municflex_Non-Local Authority_Not Applicable_&lt; 500V</v>
      </c>
      <c r="BH38" t="str">
        <f t="shared" ca="1" si="32"/>
        <v>Municrate 1_Non-Local Authority_Not Applicable_&lt; 500V</v>
      </c>
      <c r="BI38" t="str">
        <f t="shared" ca="1" si="32"/>
        <v>Municrate 2_Non-Local Authority_Not Applicable_&lt; 500V</v>
      </c>
      <c r="BJ38" t="str">
        <f t="shared" ca="1" si="32"/>
        <v>Municrate 3_Non-Local Authority_Not Applicable_&lt; 500V</v>
      </c>
      <c r="BK38" t="str">
        <f t="shared" ca="1" si="32"/>
        <v>Municrate 4_Non-Local Authority_Not Applicable_&lt; 500V</v>
      </c>
      <c r="BL38" t="str">
        <f t="shared" ref="BL38:BO41" ca="1" si="33">AF38</f>
        <v>Homeflex 1_Non-Local Authority_Not Applicable_&lt; 500V</v>
      </c>
      <c r="BM38" t="str">
        <f t="shared" ca="1" si="33"/>
        <v>Homeflex 2_Non-Local Authority_Not Applicable_&lt; 500V</v>
      </c>
      <c r="BN38" t="str">
        <f t="shared" ca="1" si="33"/>
        <v>Homeflex 3_Non-Local Authority_Not Applicable_&lt; 500V</v>
      </c>
      <c r="BO38" t="str">
        <f t="shared" ca="1" si="33"/>
        <v>Homeflex 4_Non-Local Authority_Not Applicable_&lt; 500V</v>
      </c>
    </row>
    <row r="39" spans="2:67">
      <c r="C39" t="s">
        <v>184</v>
      </c>
      <c r="E39" t="str">
        <f t="shared" ref="E39" ca="1" si="34">E6&amp;"_"&amp;$D51&amp;"_"&amp;$D49</f>
        <v>Businessrate 1_Non-Local Authority_&lt; 500V</v>
      </c>
      <c r="F39" t="str">
        <f t="shared" ref="F39:AI39" ca="1" si="35">F6&amp;"_"&amp;$D51&amp;"_"&amp;$D49</f>
        <v>Businessrate 1_Non-Local Authority_&lt; 500V</v>
      </c>
      <c r="G39" t="str">
        <f t="shared" ca="1" si="35"/>
        <v>Businessrate 2_Non-Local Authority_&lt; 500V</v>
      </c>
      <c r="H39" t="str">
        <f t="shared" ca="1" si="35"/>
        <v>Businessrate 3_Non-Local Authority_&lt; 500V</v>
      </c>
      <c r="I39" t="str">
        <f t="shared" ca="1" si="35"/>
        <v>Businessrate 4_Non-Local Authority_&lt; 500V</v>
      </c>
      <c r="J39" t="str">
        <f t="shared" ca="1" si="35"/>
        <v>Homelight 20A_Non-Local Authority_&lt; 500V</v>
      </c>
      <c r="K39" t="str">
        <f t="shared" ca="1" si="35"/>
        <v>Homelight 60A_Non-Local Authority_&lt; 500V</v>
      </c>
      <c r="L39" t="str">
        <f t="shared" ca="1" si="35"/>
        <v>Homepower 1_Non-Local Authority_&lt; 500V</v>
      </c>
      <c r="M39" t="str">
        <f t="shared" ca="1" si="35"/>
        <v>Homepower 2_Non-Local Authority_&lt; 500V</v>
      </c>
      <c r="N39" t="str">
        <f t="shared" ca="1" si="35"/>
        <v>Homepower 3_Non-Local Authority_&lt; 500V</v>
      </c>
      <c r="O39" t="str">
        <f t="shared" ca="1" si="35"/>
        <v>Homepower 4_Non-Local Authority_&lt; 500V</v>
      </c>
      <c r="P39" t="str">
        <f t="shared" ca="1" si="35"/>
        <v>Homepower Bulk_Non-Local Authority_&lt; 500V</v>
      </c>
      <c r="Q39" t="str">
        <f t="shared" ca="1" si="35"/>
        <v>Landrate 1_Non-Local Authority_&lt; 500V</v>
      </c>
      <c r="R39" t="str">
        <f t="shared" ca="1" si="35"/>
        <v>Landrate 2_Non-Local Authority_&lt; 500V</v>
      </c>
      <c r="S39" t="str">
        <f t="shared" ca="1" si="35"/>
        <v>Landrate 3_Non-Local Authority_&lt; 500V</v>
      </c>
      <c r="T39" t="str">
        <f t="shared" ca="1" si="35"/>
        <v>Landrate 4_Non-Local Authority_&lt; 500V</v>
      </c>
      <c r="U39" t="str">
        <f t="shared" ca="1" si="35"/>
        <v>Landrate Dx_Non-Local Authority_&lt; 500V</v>
      </c>
      <c r="V39" t="str">
        <f t="shared" ca="1" si="35"/>
        <v>Landlight 20A_Non-Local Authority_&lt; 500V</v>
      </c>
      <c r="W39" t="str">
        <f t="shared" ca="1" si="35"/>
        <v>Landlight 60A_Non-Local Authority_&lt; 500V</v>
      </c>
      <c r="X39" t="str">
        <f t="shared" ca="1" si="35"/>
        <v>Public Lighting All Night_Non-Local Authority_&lt; 500V</v>
      </c>
      <c r="Y39" t="str">
        <f t="shared" ca="1" si="35"/>
        <v>Public Lighting 24 Hours_Non-Local Authority_&lt; 500V</v>
      </c>
      <c r="Z39" t="str">
        <f ca="1">Z6&amp;"_"&amp;$D51&amp;"_"&amp;$D49</f>
        <v>Public Lighting Urban Fixed_Non-Local Authority_&lt; 500V</v>
      </c>
      <c r="AA39" t="str">
        <f t="shared" ref="AA39:AD39" ca="1" si="36">AA6&amp;"_"&amp;$D51&amp;"_"&amp;$D49</f>
        <v>Municflex_Non-Local Authority_&lt; 500V</v>
      </c>
      <c r="AB39" t="str">
        <f t="shared" ca="1" si="36"/>
        <v>Municrate 1_Non-Local Authority_&lt; 500V</v>
      </c>
      <c r="AC39" t="str">
        <f t="shared" ca="1" si="36"/>
        <v>Municrate 2_Non-Local Authority_&lt; 500V</v>
      </c>
      <c r="AD39" t="str">
        <f t="shared" ca="1" si="36"/>
        <v>Municrate 3_Non-Local Authority_&lt; 500V</v>
      </c>
      <c r="AE39" t="str">
        <f t="shared" ref="AE39" ca="1" si="37">AE6&amp;"_"&amp;$D51&amp;"_"&amp;$D49</f>
        <v>Municrate 4_Non-Local Authority_&lt; 500V</v>
      </c>
      <c r="AF39" t="str">
        <f t="shared" ca="1" si="35"/>
        <v>Homeflex 1_Non-Local Authority_&lt; 500V</v>
      </c>
      <c r="AG39" t="str">
        <f t="shared" ca="1" si="35"/>
        <v>Homeflex 2_Non-Local Authority_&lt; 500V</v>
      </c>
      <c r="AH39" t="str">
        <f t="shared" ca="1" si="35"/>
        <v>Homeflex 3_Non-Local Authority_&lt; 500V</v>
      </c>
      <c r="AI39" t="str">
        <f t="shared" ca="1" si="35"/>
        <v>Homeflex 4_Non-Local Authority_&lt; 500V</v>
      </c>
      <c r="AK39" t="str">
        <f t="shared" ref="AK39" ca="1" si="38">AK6&amp;"_"&amp;$D51&amp;"_"&amp;$D49</f>
        <v>Businessrate 1_Non-Local Authority_&lt; 500V</v>
      </c>
      <c r="AL39" t="str">
        <f t="shared" ca="1" si="30"/>
        <v>Businessrate 1_Non-Local Authority_&lt; 500V</v>
      </c>
      <c r="AM39" t="str">
        <f t="shared" ca="1" si="30"/>
        <v>Businessrate 2_Non-Local Authority_&lt; 500V</v>
      </c>
      <c r="AN39" t="str">
        <f t="shared" ca="1" si="30"/>
        <v>Businessrate 3_Non-Local Authority_&lt; 500V</v>
      </c>
      <c r="AO39" t="str">
        <f t="shared" ca="1" si="30"/>
        <v>Businessrate 4_Non-Local Authority_&lt; 500V</v>
      </c>
      <c r="AP39" t="str">
        <f t="shared" ca="1" si="30"/>
        <v>Homelight 20A_Non-Local Authority_&lt; 500V</v>
      </c>
      <c r="AQ39" t="str">
        <f t="shared" ca="1" si="30"/>
        <v>Homelight 60A_Non-Local Authority_&lt; 500V</v>
      </c>
      <c r="AR39" t="str">
        <f t="shared" ca="1" si="30"/>
        <v>Homepower 1_Non-Local Authority_&lt; 500V</v>
      </c>
      <c r="AS39" t="str">
        <f t="shared" ca="1" si="30"/>
        <v>Homepower 2_Non-Local Authority_&lt; 500V</v>
      </c>
      <c r="AT39" t="str">
        <f t="shared" ca="1" si="30"/>
        <v>Homepower 3_Non-Local Authority_&lt; 500V</v>
      </c>
      <c r="AU39" t="str">
        <f t="shared" ca="1" si="30"/>
        <v>Homepower 4_Non-Local Authority_&lt; 500V</v>
      </c>
      <c r="AV39" t="str">
        <f t="shared" ca="1" si="31"/>
        <v>Homepower Bulk_Non-Local Authority_&lt; 500V</v>
      </c>
      <c r="AW39" t="str">
        <f t="shared" ca="1" si="31"/>
        <v>Landrate 1_Non-Local Authority_&lt; 500V</v>
      </c>
      <c r="AX39" t="str">
        <f t="shared" ca="1" si="31"/>
        <v>Landrate 2_Non-Local Authority_&lt; 500V</v>
      </c>
      <c r="AY39" t="str">
        <f t="shared" ca="1" si="31"/>
        <v>Landrate 3_Non-Local Authority_&lt; 500V</v>
      </c>
      <c r="AZ39" t="str">
        <f t="shared" ca="1" si="31"/>
        <v>Landrate 4_Non-Local Authority_&lt; 500V</v>
      </c>
      <c r="BA39" t="str">
        <f t="shared" ca="1" si="31"/>
        <v>Landrate Dx_Non-Local Authority_&lt; 500V</v>
      </c>
      <c r="BB39" t="str">
        <f t="shared" ca="1" si="31"/>
        <v>Landlight 20A_Non-Local Authority_&lt; 500V</v>
      </c>
      <c r="BC39" t="str">
        <f t="shared" ca="1" si="31"/>
        <v>Landlight 60A_Non-Local Authority_&lt; 500V</v>
      </c>
      <c r="BD39" t="str">
        <f t="shared" ca="1" si="31"/>
        <v>Public Lighting All Night_Non-Local Authority_&lt; 500V</v>
      </c>
      <c r="BE39" t="str">
        <f t="shared" ca="1" si="31"/>
        <v>Public Lighting 24 Hours_Non-Local Authority_&lt; 500V</v>
      </c>
      <c r="BF39" t="str">
        <f t="shared" ca="1" si="32"/>
        <v>Public Lighting Urban Fixed_Non-Local Authority_&lt; 500V</v>
      </c>
      <c r="BG39" t="str">
        <f t="shared" ca="1" si="32"/>
        <v>Municflex_Non-Local Authority_&lt; 500V</v>
      </c>
      <c r="BH39" t="str">
        <f t="shared" ca="1" si="32"/>
        <v>Municrate 1_Non-Local Authority_&lt; 500V</v>
      </c>
      <c r="BI39" t="str">
        <f t="shared" ca="1" si="32"/>
        <v>Municrate 2_Non-Local Authority_&lt; 500V</v>
      </c>
      <c r="BJ39" t="str">
        <f t="shared" ca="1" si="32"/>
        <v>Municrate 3_Non-Local Authority_&lt; 500V</v>
      </c>
      <c r="BK39" t="str">
        <f t="shared" ca="1" si="32"/>
        <v>Municrate 4_Non-Local Authority_&lt; 500V</v>
      </c>
      <c r="BL39" t="str">
        <f t="shared" ca="1" si="33"/>
        <v>Homeflex 1_Non-Local Authority_&lt; 500V</v>
      </c>
      <c r="BM39" t="str">
        <f t="shared" ca="1" si="33"/>
        <v>Homeflex 2_Non-Local Authority_&lt; 500V</v>
      </c>
      <c r="BN39" t="str">
        <f t="shared" ca="1" si="33"/>
        <v>Homeflex 3_Non-Local Authority_&lt; 500V</v>
      </c>
      <c r="BO39" t="str">
        <f t="shared" ca="1" si="33"/>
        <v>Homeflex 4_Non-Local Authority_&lt; 500V</v>
      </c>
    </row>
    <row r="40" spans="2:67">
      <c r="C40" t="s">
        <v>185</v>
      </c>
      <c r="E40" t="str">
        <f t="shared" ref="E40" ca="1" si="39">E6&amp;"_"&amp;$D51</f>
        <v>Businessrate 1_Non-Local Authority</v>
      </c>
      <c r="F40" t="str">
        <f t="shared" ref="F40:AI40" si="40">F6&amp;"_"&amp;$D51</f>
        <v>Businessrate 1_Non-Local Authority</v>
      </c>
      <c r="G40" t="str">
        <f t="shared" si="40"/>
        <v>Businessrate 2_Non-Local Authority</v>
      </c>
      <c r="H40" t="str">
        <f t="shared" si="40"/>
        <v>Businessrate 3_Non-Local Authority</v>
      </c>
      <c r="I40" t="str">
        <f t="shared" si="40"/>
        <v>Businessrate 4_Non-Local Authority</v>
      </c>
      <c r="J40" t="str">
        <f t="shared" si="40"/>
        <v>Homelight 20A_Non-Local Authority</v>
      </c>
      <c r="K40" t="str">
        <f t="shared" si="40"/>
        <v>Homelight 60A_Non-Local Authority</v>
      </c>
      <c r="L40" t="str">
        <f t="shared" si="40"/>
        <v>Homepower 1_Non-Local Authority</v>
      </c>
      <c r="M40" t="str">
        <f t="shared" si="40"/>
        <v>Homepower 2_Non-Local Authority</v>
      </c>
      <c r="N40" t="str">
        <f t="shared" si="40"/>
        <v>Homepower 3_Non-Local Authority</v>
      </c>
      <c r="O40" t="str">
        <f t="shared" si="40"/>
        <v>Homepower 4_Non-Local Authority</v>
      </c>
      <c r="P40" t="str">
        <f t="shared" si="40"/>
        <v>Homepower Bulk_Non-Local Authority</v>
      </c>
      <c r="Q40" t="str">
        <f t="shared" si="40"/>
        <v>Landrate 1_Non-Local Authority</v>
      </c>
      <c r="R40" t="str">
        <f t="shared" si="40"/>
        <v>Landrate 2_Non-Local Authority</v>
      </c>
      <c r="S40" t="str">
        <f t="shared" si="40"/>
        <v>Landrate 3_Non-Local Authority</v>
      </c>
      <c r="T40" t="str">
        <f t="shared" si="40"/>
        <v>Landrate 4_Non-Local Authority</v>
      </c>
      <c r="U40" t="str">
        <f t="shared" si="40"/>
        <v>Landrate Dx_Non-Local Authority</v>
      </c>
      <c r="V40" t="str">
        <f t="shared" si="40"/>
        <v>Landlight 20A_Non-Local Authority</v>
      </c>
      <c r="W40" t="str">
        <f t="shared" si="40"/>
        <v>Landlight 60A_Non-Local Authority</v>
      </c>
      <c r="X40" t="str">
        <f t="shared" si="40"/>
        <v>Public Lighting All Night_Non-Local Authority</v>
      </c>
      <c r="Y40" t="str">
        <f t="shared" si="40"/>
        <v>Public Lighting 24 Hours_Non-Local Authority</v>
      </c>
      <c r="Z40" t="str">
        <f>Z6&amp;"_"&amp;$D51</f>
        <v>Public Lighting Urban Fixed_Non-Local Authority</v>
      </c>
      <c r="AA40" t="str">
        <f t="shared" ref="AA40:AD40" si="41">AA6&amp;"_"&amp;$D51</f>
        <v>Municflex_Non-Local Authority</v>
      </c>
      <c r="AB40" t="str">
        <f t="shared" si="41"/>
        <v>Municrate 1_Non-Local Authority</v>
      </c>
      <c r="AC40" t="str">
        <f t="shared" si="41"/>
        <v>Municrate 2_Non-Local Authority</v>
      </c>
      <c r="AD40" t="str">
        <f t="shared" si="41"/>
        <v>Municrate 3_Non-Local Authority</v>
      </c>
      <c r="AE40" t="str">
        <f t="shared" ref="AE40" si="42">AE6&amp;"_"&amp;$D51</f>
        <v>Municrate 4_Non-Local Authority</v>
      </c>
      <c r="AF40" t="str">
        <f t="shared" si="40"/>
        <v>Homeflex 1_Non-Local Authority</v>
      </c>
      <c r="AG40" t="str">
        <f t="shared" si="40"/>
        <v>Homeflex 2_Non-Local Authority</v>
      </c>
      <c r="AH40" t="str">
        <f t="shared" si="40"/>
        <v>Homeflex 3_Non-Local Authority</v>
      </c>
      <c r="AI40" t="str">
        <f t="shared" si="40"/>
        <v>Homeflex 4_Non-Local Authority</v>
      </c>
      <c r="AK40" t="str">
        <f t="shared" ref="AK40" ca="1" si="43">AK6&amp;"_"&amp;$D51</f>
        <v>Businessrate 1_Non-Local Authority</v>
      </c>
      <c r="AL40" t="str">
        <f t="shared" si="30"/>
        <v>Businessrate 1_Non-Local Authority</v>
      </c>
      <c r="AM40" t="str">
        <f t="shared" si="30"/>
        <v>Businessrate 2_Non-Local Authority</v>
      </c>
      <c r="AN40" t="str">
        <f t="shared" si="30"/>
        <v>Businessrate 3_Non-Local Authority</v>
      </c>
      <c r="AO40" t="str">
        <f t="shared" si="30"/>
        <v>Businessrate 4_Non-Local Authority</v>
      </c>
      <c r="AP40" t="str">
        <f t="shared" si="30"/>
        <v>Homelight 20A_Non-Local Authority</v>
      </c>
      <c r="AQ40" t="str">
        <f t="shared" si="30"/>
        <v>Homelight 60A_Non-Local Authority</v>
      </c>
      <c r="AR40" t="str">
        <f t="shared" si="30"/>
        <v>Homepower 1_Non-Local Authority</v>
      </c>
      <c r="AS40" t="str">
        <f t="shared" si="30"/>
        <v>Homepower 2_Non-Local Authority</v>
      </c>
      <c r="AT40" t="str">
        <f t="shared" si="30"/>
        <v>Homepower 3_Non-Local Authority</v>
      </c>
      <c r="AU40" t="str">
        <f t="shared" si="30"/>
        <v>Homepower 4_Non-Local Authority</v>
      </c>
      <c r="AV40" t="str">
        <f t="shared" si="31"/>
        <v>Homepower Bulk_Non-Local Authority</v>
      </c>
      <c r="AW40" t="str">
        <f t="shared" si="31"/>
        <v>Landrate 1_Non-Local Authority</v>
      </c>
      <c r="AX40" t="str">
        <f t="shared" si="31"/>
        <v>Landrate 2_Non-Local Authority</v>
      </c>
      <c r="AY40" t="str">
        <f t="shared" si="31"/>
        <v>Landrate 3_Non-Local Authority</v>
      </c>
      <c r="AZ40" t="str">
        <f t="shared" si="31"/>
        <v>Landrate 4_Non-Local Authority</v>
      </c>
      <c r="BA40" t="str">
        <f t="shared" si="31"/>
        <v>Landrate Dx_Non-Local Authority</v>
      </c>
      <c r="BB40" t="str">
        <f t="shared" si="31"/>
        <v>Landlight 20A_Non-Local Authority</v>
      </c>
      <c r="BC40" t="str">
        <f t="shared" si="31"/>
        <v>Landlight 60A_Non-Local Authority</v>
      </c>
      <c r="BD40" t="str">
        <f t="shared" si="31"/>
        <v>Public Lighting All Night_Non-Local Authority</v>
      </c>
      <c r="BE40" t="str">
        <f t="shared" si="31"/>
        <v>Public Lighting 24 Hours_Non-Local Authority</v>
      </c>
      <c r="BF40" t="str">
        <f t="shared" si="32"/>
        <v>Public Lighting Urban Fixed_Non-Local Authority</v>
      </c>
      <c r="BG40" t="str">
        <f t="shared" si="32"/>
        <v>Municflex_Non-Local Authority</v>
      </c>
      <c r="BH40" t="str">
        <f t="shared" si="32"/>
        <v>Municrate 1_Non-Local Authority</v>
      </c>
      <c r="BI40" t="str">
        <f t="shared" si="32"/>
        <v>Municrate 2_Non-Local Authority</v>
      </c>
      <c r="BJ40" t="str">
        <f t="shared" si="32"/>
        <v>Municrate 3_Non-Local Authority</v>
      </c>
      <c r="BK40" t="str">
        <f t="shared" si="32"/>
        <v>Municrate 4_Non-Local Authority</v>
      </c>
      <c r="BL40" t="str">
        <f t="shared" si="33"/>
        <v>Homeflex 1_Non-Local Authority</v>
      </c>
      <c r="BM40" t="str">
        <f t="shared" si="33"/>
        <v>Homeflex 2_Non-Local Authority</v>
      </c>
      <c r="BN40" t="str">
        <f t="shared" si="33"/>
        <v>Homeflex 3_Non-Local Authority</v>
      </c>
      <c r="BO40" t="str">
        <f t="shared" si="33"/>
        <v>Homeflex 4_Non-Local Authority</v>
      </c>
    </row>
    <row r="41" spans="2:67">
      <c r="C41" t="s">
        <v>186</v>
      </c>
      <c r="E41" t="str">
        <f ca="1">INDEX(F41:AI41,0,F2)</f>
        <v>Urban_Non-Local Authority_≤100kVA</v>
      </c>
      <c r="F41" t="str">
        <f>$B56&amp;"_"&amp;$D51&amp;"_"&amp;$D53</f>
        <v>Urban_Non-Local Authority_≤100kVA</v>
      </c>
      <c r="G41" t="str">
        <f t="shared" ref="G41:P41" si="44">$B56&amp;"_"&amp;$D51&amp;"_"&amp;$D53</f>
        <v>Urban_Non-Local Authority_≤100kVA</v>
      </c>
      <c r="H41" t="str">
        <f t="shared" si="44"/>
        <v>Urban_Non-Local Authority_≤100kVA</v>
      </c>
      <c r="I41" t="str">
        <f t="shared" si="44"/>
        <v>Urban_Non-Local Authority_≤100kVA</v>
      </c>
      <c r="J41" t="str">
        <f t="shared" si="44"/>
        <v>Urban_Non-Local Authority_≤100kVA</v>
      </c>
      <c r="K41" t="str">
        <f t="shared" si="44"/>
        <v>Urban_Non-Local Authority_≤100kVA</v>
      </c>
      <c r="L41" t="str">
        <f t="shared" si="44"/>
        <v>Urban_Non-Local Authority_≤100kVA</v>
      </c>
      <c r="M41" t="str">
        <f t="shared" si="44"/>
        <v>Urban_Non-Local Authority_≤100kVA</v>
      </c>
      <c r="N41" t="str">
        <f t="shared" si="44"/>
        <v>Urban_Non-Local Authority_≤100kVA</v>
      </c>
      <c r="O41" t="str">
        <f t="shared" si="44"/>
        <v>Urban_Non-Local Authority_≤100kVA</v>
      </c>
      <c r="P41" t="str">
        <f t="shared" si="44"/>
        <v>Urban_Non-Local Authority_≤100kVA</v>
      </c>
      <c r="Q41" t="str">
        <f>$B57&amp;"_"&amp;$D51&amp;"_"&amp;$D53</f>
        <v>Rural_Non-Local Authority_≤100kVA</v>
      </c>
      <c r="R41" t="str">
        <f t="shared" ref="R41:W41" si="45">$B57&amp;"_"&amp;$D51&amp;"_"&amp;$D53</f>
        <v>Rural_Non-Local Authority_≤100kVA</v>
      </c>
      <c r="S41" t="str">
        <f t="shared" si="45"/>
        <v>Rural_Non-Local Authority_≤100kVA</v>
      </c>
      <c r="T41" t="str">
        <f t="shared" si="45"/>
        <v>Rural_Non-Local Authority_≤100kVA</v>
      </c>
      <c r="U41" t="str">
        <f t="shared" si="45"/>
        <v>Rural_Non-Local Authority_≤100kVA</v>
      </c>
      <c r="V41" t="str">
        <f t="shared" si="45"/>
        <v>Rural_Non-Local Authority_≤100kVA</v>
      </c>
      <c r="W41" t="str">
        <f t="shared" si="45"/>
        <v>Rural_Non-Local Authority_≤100kVA</v>
      </c>
      <c r="X41" t="str">
        <f t="shared" ref="X41:AI41" si="46">$B56&amp;"_"&amp;$D51&amp;"_"&amp;$D53</f>
        <v>Urban_Non-Local Authority_≤100kVA</v>
      </c>
      <c r="Y41" t="str">
        <f t="shared" si="46"/>
        <v>Urban_Non-Local Authority_≤100kVA</v>
      </c>
      <c r="Z41" t="str">
        <f t="shared" si="46"/>
        <v>Urban_Non-Local Authority_≤100kVA</v>
      </c>
      <c r="AA41" t="str">
        <f t="shared" si="46"/>
        <v>Urban_Non-Local Authority_≤100kVA</v>
      </c>
      <c r="AB41" t="str">
        <f t="shared" si="46"/>
        <v>Urban_Non-Local Authority_≤100kVA</v>
      </c>
      <c r="AC41" t="str">
        <f t="shared" si="46"/>
        <v>Urban_Non-Local Authority_≤100kVA</v>
      </c>
      <c r="AD41" t="str">
        <f t="shared" si="46"/>
        <v>Urban_Non-Local Authority_≤100kVA</v>
      </c>
      <c r="AE41" t="str">
        <f t="shared" si="46"/>
        <v>Urban_Non-Local Authority_≤100kVA</v>
      </c>
      <c r="AF41" t="str">
        <f t="shared" si="46"/>
        <v>Urban_Non-Local Authority_≤100kVA</v>
      </c>
      <c r="AG41" t="str">
        <f t="shared" si="46"/>
        <v>Urban_Non-Local Authority_≤100kVA</v>
      </c>
      <c r="AH41" t="str">
        <f t="shared" si="46"/>
        <v>Urban_Non-Local Authority_≤100kVA</v>
      </c>
      <c r="AI41" t="str">
        <f t="shared" si="46"/>
        <v>Urban_Non-Local Authority_≤100kVA</v>
      </c>
      <c r="AK41" t="str">
        <f ca="1">INDEX(AL41:BO41,0,Selected_Tariff_ID)</f>
        <v>Urban_Non-Local Authority_≤100kVA</v>
      </c>
      <c r="AL41" t="str">
        <f>F41</f>
        <v>Urban_Non-Local Authority_≤100kVA</v>
      </c>
      <c r="AM41" t="str">
        <f t="shared" si="30"/>
        <v>Urban_Non-Local Authority_≤100kVA</v>
      </c>
      <c r="AN41" t="str">
        <f t="shared" si="30"/>
        <v>Urban_Non-Local Authority_≤100kVA</v>
      </c>
      <c r="AO41" t="str">
        <f t="shared" si="30"/>
        <v>Urban_Non-Local Authority_≤100kVA</v>
      </c>
      <c r="AP41" t="str">
        <f t="shared" si="30"/>
        <v>Urban_Non-Local Authority_≤100kVA</v>
      </c>
      <c r="AQ41" t="str">
        <f t="shared" si="30"/>
        <v>Urban_Non-Local Authority_≤100kVA</v>
      </c>
      <c r="AR41" t="str">
        <f t="shared" si="30"/>
        <v>Urban_Non-Local Authority_≤100kVA</v>
      </c>
      <c r="AS41" t="str">
        <f t="shared" si="30"/>
        <v>Urban_Non-Local Authority_≤100kVA</v>
      </c>
      <c r="AT41" t="str">
        <f t="shared" si="30"/>
        <v>Urban_Non-Local Authority_≤100kVA</v>
      </c>
      <c r="AU41" t="str">
        <f t="shared" si="30"/>
        <v>Urban_Non-Local Authority_≤100kVA</v>
      </c>
      <c r="AV41" t="str">
        <f t="shared" si="31"/>
        <v>Urban_Non-Local Authority_≤100kVA</v>
      </c>
      <c r="AW41" t="str">
        <f t="shared" si="31"/>
        <v>Rural_Non-Local Authority_≤100kVA</v>
      </c>
      <c r="AX41" t="str">
        <f t="shared" si="31"/>
        <v>Rural_Non-Local Authority_≤100kVA</v>
      </c>
      <c r="AY41" t="str">
        <f t="shared" si="31"/>
        <v>Rural_Non-Local Authority_≤100kVA</v>
      </c>
      <c r="AZ41" t="str">
        <f t="shared" si="31"/>
        <v>Rural_Non-Local Authority_≤100kVA</v>
      </c>
      <c r="BA41" t="str">
        <f t="shared" si="31"/>
        <v>Rural_Non-Local Authority_≤100kVA</v>
      </c>
      <c r="BB41" t="str">
        <f t="shared" si="31"/>
        <v>Rural_Non-Local Authority_≤100kVA</v>
      </c>
      <c r="BC41" t="str">
        <f t="shared" si="31"/>
        <v>Rural_Non-Local Authority_≤100kVA</v>
      </c>
      <c r="BD41" t="str">
        <f t="shared" si="31"/>
        <v>Urban_Non-Local Authority_≤100kVA</v>
      </c>
      <c r="BE41" t="str">
        <f t="shared" si="31"/>
        <v>Urban_Non-Local Authority_≤100kVA</v>
      </c>
      <c r="BF41" t="str">
        <f t="shared" si="32"/>
        <v>Urban_Non-Local Authority_≤100kVA</v>
      </c>
      <c r="BG41" t="str">
        <f t="shared" si="32"/>
        <v>Urban_Non-Local Authority_≤100kVA</v>
      </c>
      <c r="BH41" t="str">
        <f t="shared" si="32"/>
        <v>Urban_Non-Local Authority_≤100kVA</v>
      </c>
      <c r="BI41" t="str">
        <f t="shared" si="32"/>
        <v>Urban_Non-Local Authority_≤100kVA</v>
      </c>
      <c r="BJ41" t="str">
        <f t="shared" si="32"/>
        <v>Urban_Non-Local Authority_≤100kVA</v>
      </c>
      <c r="BK41" t="str">
        <f t="shared" si="32"/>
        <v>Urban_Non-Local Authority_≤100kVA</v>
      </c>
      <c r="BL41" t="str">
        <f t="shared" si="33"/>
        <v>Urban_Non-Local Authority_≤100kVA</v>
      </c>
      <c r="BM41" t="str">
        <f t="shared" si="33"/>
        <v>Urban_Non-Local Authority_≤100kVA</v>
      </c>
      <c r="BN41" t="str">
        <f t="shared" si="33"/>
        <v>Urban_Non-Local Authority_≤100kVA</v>
      </c>
      <c r="BO41" t="str">
        <f t="shared" si="33"/>
        <v>Urban_Non-Local Authority_≤100kVA</v>
      </c>
    </row>
    <row r="43" spans="2:67">
      <c r="B43" s="2" t="s">
        <v>120</v>
      </c>
    </row>
    <row r="44" spans="2:67">
      <c r="C44" t="s">
        <v>182</v>
      </c>
      <c r="E44">
        <f ca="1">SUMIFS(F44:AI44,$F$7:$AI$7,$F$2)</f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K44">
        <v>0</v>
      </c>
      <c r="AL44">
        <f t="shared" ref="AL44:BF44" si="47">F44</f>
        <v>0</v>
      </c>
      <c r="AM44">
        <f t="shared" si="47"/>
        <v>0</v>
      </c>
      <c r="AN44">
        <f t="shared" si="47"/>
        <v>0</v>
      </c>
      <c r="AO44">
        <f t="shared" si="47"/>
        <v>0</v>
      </c>
      <c r="AP44">
        <f t="shared" si="47"/>
        <v>0</v>
      </c>
      <c r="AQ44">
        <f t="shared" si="47"/>
        <v>0</v>
      </c>
      <c r="AR44">
        <f t="shared" si="47"/>
        <v>0</v>
      </c>
      <c r="AS44">
        <f t="shared" si="47"/>
        <v>0</v>
      </c>
      <c r="AT44">
        <f t="shared" si="47"/>
        <v>0</v>
      </c>
      <c r="AU44">
        <f t="shared" si="47"/>
        <v>0</v>
      </c>
      <c r="AV44">
        <f t="shared" si="47"/>
        <v>0</v>
      </c>
      <c r="AW44">
        <f t="shared" si="47"/>
        <v>0</v>
      </c>
      <c r="AX44">
        <f t="shared" si="47"/>
        <v>0</v>
      </c>
      <c r="AY44">
        <f t="shared" si="47"/>
        <v>0</v>
      </c>
      <c r="AZ44">
        <f t="shared" si="47"/>
        <v>0</v>
      </c>
      <c r="BA44">
        <f t="shared" si="47"/>
        <v>0</v>
      </c>
      <c r="BB44">
        <f t="shared" si="47"/>
        <v>0</v>
      </c>
      <c r="BC44">
        <f t="shared" si="47"/>
        <v>0</v>
      </c>
      <c r="BD44">
        <f t="shared" si="47"/>
        <v>0</v>
      </c>
      <c r="BE44">
        <f t="shared" si="47"/>
        <v>0</v>
      </c>
      <c r="BF44">
        <f t="shared" si="47"/>
        <v>0</v>
      </c>
      <c r="BH44">
        <v>0</v>
      </c>
      <c r="BI44">
        <v>0</v>
      </c>
      <c r="BJ44">
        <v>0</v>
      </c>
      <c r="BK44">
        <v>0</v>
      </c>
      <c r="BL44">
        <f>AF44</f>
        <v>0</v>
      </c>
      <c r="BM44">
        <f>AG44</f>
        <v>0</v>
      </c>
      <c r="BN44">
        <f>AH44</f>
        <v>0</v>
      </c>
      <c r="BO44">
        <f>AI44</f>
        <v>0</v>
      </c>
    </row>
    <row r="46" spans="2:67">
      <c r="B46" s="2" t="s">
        <v>71</v>
      </c>
    </row>
    <row r="47" spans="2:67">
      <c r="B47" s="2"/>
      <c r="C47" t="s">
        <v>89</v>
      </c>
      <c r="D47" t="str">
        <f ca="1">Selected_Base_Tariff</f>
        <v>Businessrate 1</v>
      </c>
    </row>
    <row r="48" spans="2:67">
      <c r="C48" t="s">
        <v>77</v>
      </c>
      <c r="D48" t="str">
        <f ca="1">INDEX(Full_Tariff_Type,MATCH(D47,Full_Tariff_List,0))</f>
        <v>Urban</v>
      </c>
    </row>
    <row r="49" spans="2:4">
      <c r="C49" t="s">
        <v>72</v>
      </c>
      <c r="D49" t="str">
        <f ca="1">Selected_Supply_Voltage</f>
        <v>&lt; 500V</v>
      </c>
    </row>
    <row r="50" spans="2:4">
      <c r="C50" t="s">
        <v>47</v>
      </c>
      <c r="D50" t="str">
        <f ca="1">Selected_Transmission</f>
        <v>Not Applicable</v>
      </c>
    </row>
    <row r="51" spans="2:4">
      <c r="C51" t="s">
        <v>21</v>
      </c>
      <c r="D51" t="str">
        <f>Selected_Tariff_Category</f>
        <v>Non-Local Authority</v>
      </c>
    </row>
    <row r="52" spans="2:4">
      <c r="C52" t="s">
        <v>73</v>
      </c>
      <c r="D52" s="20">
        <f>PODs</f>
        <v>1</v>
      </c>
    </row>
    <row r="53" spans="2:4">
      <c r="C53" t="s">
        <v>74</v>
      </c>
      <c r="D53" t="str">
        <f>IF(Selected_Customer_Category_ID=1,Lists!O21,Selected_Supply_Size)</f>
        <v>≤100kVA</v>
      </c>
    </row>
    <row r="56" spans="2:4">
      <c r="B56" t="s">
        <v>78</v>
      </c>
    </row>
    <row r="57" spans="2:4">
      <c r="B57" t="s">
        <v>79</v>
      </c>
    </row>
    <row r="62" spans="2:4">
      <c r="D62" s="20"/>
    </row>
  </sheetData>
  <sheetProtection algorithmName="SHA-512" hashValue="Ry2tXVbYe8PvzYZ5OG8z6r1w+8Yb/VqKhPKmXDMOlXJKVfJ+EPBK1BsuDkrCnXmYawj0Xr2TJhQ1ZR72Ad19Hg==" saltValue="cLW9w+4AOxJReOBySdlE2Q==" spinCount="100000" sheet="1" objects="1" scenarios="1"/>
  <phoneticPr fontId="35" type="noConversion"/>
  <dataValidations disablePrompts="1" count="1">
    <dataValidation type="list" allowBlank="1" showInputMessage="1" showErrorMessage="1" sqref="D47 D68" xr:uid="{00000000-0002-0000-0400-000000000000}">
      <formula1>Base_Tariff_List</formula1>
    </dataValidation>
  </dataValidations>
  <pageMargins left="0.7" right="0.7" top="0.75" bottom="0.75" header="0.3" footer="0.3"/>
  <pageSetup paperSize="9" orientation="portrait" r:id="rId1"/>
  <ignoredErrors>
    <ignoredError sqref="AF11:AI23 AL10:BK10 BL10:BO33 AF26:AI32 AL12:BK33 AL11:BG11 BI11:BK11" evalError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BO46"/>
  <sheetViews>
    <sheetView showGridLines="0" zoomScale="99" zoomScaleNormal="99" workbookViewId="0">
      <pane xSplit="4" ySplit="6" topLeftCell="BA15" activePane="bottomRight" state="frozen"/>
      <selection activeCell="F63" sqref="F63"/>
      <selection pane="topRight" activeCell="F63" sqref="F63"/>
      <selection pane="bottomLeft" activeCell="F63" sqref="F63"/>
      <selection pane="bottomRight" activeCell="BB23" sqref="BB23"/>
    </sheetView>
  </sheetViews>
  <sheetFormatPr defaultColWidth="9.28515625" defaultRowHeight="12"/>
  <cols>
    <col min="1" max="2" width="2.85546875" customWidth="1"/>
    <col min="3" max="3" width="35.42578125" bestFit="1" customWidth="1"/>
    <col min="4" max="4" width="14.28515625" customWidth="1"/>
    <col min="5" max="35" width="16" customWidth="1"/>
    <col min="37" max="68" width="16" customWidth="1"/>
  </cols>
  <sheetData>
    <row r="1" spans="2:67" ht="3.9" customHeight="1"/>
    <row r="2" spans="2:67" ht="33" customHeight="1">
      <c r="E2" t="str">
        <f ca="1">Inputs!G21</f>
        <v>Businessrate 1</v>
      </c>
      <c r="F2">
        <f ca="1">MATCH(E2,Full_Tariff_List,0)</f>
        <v>1</v>
      </c>
    </row>
    <row r="3" spans="2:67" ht="3.9" customHeight="1"/>
    <row r="4" spans="2:67" ht="15">
      <c r="B4" s="1" t="s">
        <v>198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</row>
    <row r="6" spans="2:67" ht="39.6">
      <c r="B6" s="36" t="s">
        <v>28</v>
      </c>
      <c r="C6" s="26"/>
      <c r="D6" s="26"/>
      <c r="E6" s="35" t="str">
        <f ca="1">E2</f>
        <v>Businessrate 1</v>
      </c>
      <c r="F6" s="35" t="str">
        <f t="shared" ref="F6:AI6" si="0">INDEX(Full_Tariff_List,F$7,)</f>
        <v>Businessrate 1</v>
      </c>
      <c r="G6" s="35" t="str">
        <f t="shared" si="0"/>
        <v>Businessrate 2</v>
      </c>
      <c r="H6" s="35" t="str">
        <f t="shared" si="0"/>
        <v>Businessrate 3</v>
      </c>
      <c r="I6" s="35" t="str">
        <f t="shared" si="0"/>
        <v>Businessrate 4</v>
      </c>
      <c r="J6" s="35" t="str">
        <f t="shared" si="0"/>
        <v>Homelight 20A</v>
      </c>
      <c r="K6" s="35" t="str">
        <f t="shared" si="0"/>
        <v>Homelight 60A</v>
      </c>
      <c r="L6" s="35" t="str">
        <f t="shared" si="0"/>
        <v>Homepower 1</v>
      </c>
      <c r="M6" s="35" t="str">
        <f t="shared" si="0"/>
        <v>Homepower 2</v>
      </c>
      <c r="N6" s="35" t="str">
        <f t="shared" si="0"/>
        <v>Homepower 3</v>
      </c>
      <c r="O6" s="35" t="str">
        <f t="shared" si="0"/>
        <v>Homepower 4</v>
      </c>
      <c r="P6" s="35" t="str">
        <f t="shared" si="0"/>
        <v>Homepower Bulk</v>
      </c>
      <c r="Q6" s="35" t="str">
        <f t="shared" si="0"/>
        <v>Landrate 1</v>
      </c>
      <c r="R6" s="35" t="str">
        <f t="shared" si="0"/>
        <v>Landrate 2</v>
      </c>
      <c r="S6" s="35" t="str">
        <f t="shared" si="0"/>
        <v>Landrate 3</v>
      </c>
      <c r="T6" s="35" t="str">
        <f t="shared" si="0"/>
        <v>Landrate 4</v>
      </c>
      <c r="U6" s="35" t="str">
        <f t="shared" si="0"/>
        <v>Landrate Dx</v>
      </c>
      <c r="V6" s="35" t="str">
        <f t="shared" si="0"/>
        <v>Landlight 20A</v>
      </c>
      <c r="W6" s="35" t="str">
        <f t="shared" si="0"/>
        <v>Landlight 60A</v>
      </c>
      <c r="X6" s="35" t="str">
        <f t="shared" si="0"/>
        <v>Public Lighting All Night</v>
      </c>
      <c r="Y6" s="35" t="str">
        <f t="shared" si="0"/>
        <v>Public Lighting 24 Hours</v>
      </c>
      <c r="Z6" s="35" t="str">
        <f t="shared" si="0"/>
        <v>Public Lighting Urban Fixed</v>
      </c>
      <c r="AA6" s="35" t="str">
        <f t="shared" si="0"/>
        <v>Municflex</v>
      </c>
      <c r="AB6" s="35" t="str">
        <f t="shared" si="0"/>
        <v>Municrate 1</v>
      </c>
      <c r="AC6" s="35" t="str">
        <f t="shared" si="0"/>
        <v>Municrate 2</v>
      </c>
      <c r="AD6" s="35" t="str">
        <f t="shared" si="0"/>
        <v>Municrate 3</v>
      </c>
      <c r="AE6" s="35" t="str">
        <f t="shared" si="0"/>
        <v>Municrate 4</v>
      </c>
      <c r="AF6" s="35" t="str">
        <f t="shared" si="0"/>
        <v>Homeflex 1</v>
      </c>
      <c r="AG6" s="35" t="str">
        <f t="shared" si="0"/>
        <v>Homeflex 2</v>
      </c>
      <c r="AH6" s="35" t="str">
        <f t="shared" si="0"/>
        <v>Homeflex 3</v>
      </c>
      <c r="AI6" s="35" t="str">
        <f t="shared" si="0"/>
        <v>Homeflex 4</v>
      </c>
      <c r="AK6" s="35" t="str">
        <f ca="1">Selected_Base_Tariff</f>
        <v>Businessrate 1</v>
      </c>
      <c r="AL6" s="35" t="str">
        <f t="shared" ref="AK6:AT7" si="1">F6</f>
        <v>Businessrate 1</v>
      </c>
      <c r="AM6" s="35" t="str">
        <f t="shared" si="1"/>
        <v>Businessrate 2</v>
      </c>
      <c r="AN6" s="35" t="str">
        <f t="shared" si="1"/>
        <v>Businessrate 3</v>
      </c>
      <c r="AO6" s="35" t="str">
        <f t="shared" si="1"/>
        <v>Businessrate 4</v>
      </c>
      <c r="AP6" s="35" t="str">
        <f t="shared" si="1"/>
        <v>Homelight 20A</v>
      </c>
      <c r="AQ6" s="35" t="str">
        <f t="shared" si="1"/>
        <v>Homelight 60A</v>
      </c>
      <c r="AR6" s="35" t="str">
        <f t="shared" si="1"/>
        <v>Homepower 1</v>
      </c>
      <c r="AS6" s="35" t="str">
        <f t="shared" si="1"/>
        <v>Homepower 2</v>
      </c>
      <c r="AT6" s="35" t="str">
        <f t="shared" si="1"/>
        <v>Homepower 3</v>
      </c>
      <c r="AU6" s="35" t="str">
        <f t="shared" ref="AU6:BD7" si="2">O6</f>
        <v>Homepower 4</v>
      </c>
      <c r="AV6" s="35" t="str">
        <f t="shared" si="2"/>
        <v>Homepower Bulk</v>
      </c>
      <c r="AW6" s="35" t="str">
        <f t="shared" si="2"/>
        <v>Landrate 1</v>
      </c>
      <c r="AX6" s="35" t="str">
        <f t="shared" si="2"/>
        <v>Landrate 2</v>
      </c>
      <c r="AY6" s="35" t="str">
        <f t="shared" si="2"/>
        <v>Landrate 3</v>
      </c>
      <c r="AZ6" s="35" t="str">
        <f t="shared" si="2"/>
        <v>Landrate 4</v>
      </c>
      <c r="BA6" s="35" t="str">
        <f t="shared" si="2"/>
        <v>Landrate Dx</v>
      </c>
      <c r="BB6" s="35" t="str">
        <f t="shared" si="2"/>
        <v>Landlight 20A</v>
      </c>
      <c r="BC6" s="35" t="str">
        <f t="shared" si="2"/>
        <v>Landlight 60A</v>
      </c>
      <c r="BD6" s="35" t="str">
        <f t="shared" si="2"/>
        <v>Public Lighting All Night</v>
      </c>
      <c r="BE6" s="35" t="str">
        <f t="shared" ref="BE6:BF7" si="3">Y6</f>
        <v>Public Lighting 24 Hours</v>
      </c>
      <c r="BF6" s="35" t="str">
        <f t="shared" si="3"/>
        <v>Public Lighting Urban Fixed</v>
      </c>
      <c r="BG6" s="35" t="str">
        <f t="shared" ref="BG6:BK6" si="4">AA6</f>
        <v>Municflex</v>
      </c>
      <c r="BH6" s="35" t="str">
        <f t="shared" si="4"/>
        <v>Municrate 1</v>
      </c>
      <c r="BI6" s="35" t="str">
        <f t="shared" si="4"/>
        <v>Municrate 2</v>
      </c>
      <c r="BJ6" s="35" t="str">
        <f t="shared" si="4"/>
        <v>Municrate 3</v>
      </c>
      <c r="BK6" s="35" t="str">
        <f t="shared" si="4"/>
        <v>Municrate 4</v>
      </c>
      <c r="BL6" s="35" t="str">
        <f t="shared" ref="BL6:BO7" si="5">AF6</f>
        <v>Homeflex 1</v>
      </c>
      <c r="BM6" s="35" t="str">
        <f t="shared" si="5"/>
        <v>Homeflex 2</v>
      </c>
      <c r="BN6" s="35" t="str">
        <f t="shared" si="5"/>
        <v>Homeflex 3</v>
      </c>
      <c r="BO6" s="35" t="str">
        <f t="shared" si="5"/>
        <v>Homeflex 4</v>
      </c>
    </row>
    <row r="7" spans="2:67">
      <c r="E7">
        <f ca="1">F2</f>
        <v>1</v>
      </c>
      <c r="F7">
        <v>1</v>
      </c>
      <c r="G7">
        <f>F7+1</f>
        <v>2</v>
      </c>
      <c r="H7">
        <f t="shared" ref="H7:T7" si="6">G7+1</f>
        <v>3</v>
      </c>
      <c r="I7">
        <f t="shared" si="6"/>
        <v>4</v>
      </c>
      <c r="J7">
        <f t="shared" si="6"/>
        <v>5</v>
      </c>
      <c r="K7">
        <f t="shared" si="6"/>
        <v>6</v>
      </c>
      <c r="L7">
        <f t="shared" si="6"/>
        <v>7</v>
      </c>
      <c r="M7">
        <f t="shared" si="6"/>
        <v>8</v>
      </c>
      <c r="N7">
        <f t="shared" si="6"/>
        <v>9</v>
      </c>
      <c r="O7">
        <f t="shared" si="6"/>
        <v>10</v>
      </c>
      <c r="P7">
        <f t="shared" si="6"/>
        <v>11</v>
      </c>
      <c r="Q7">
        <f t="shared" si="6"/>
        <v>12</v>
      </c>
      <c r="R7">
        <f t="shared" si="6"/>
        <v>13</v>
      </c>
      <c r="S7">
        <f t="shared" si="6"/>
        <v>14</v>
      </c>
      <c r="T7">
        <f t="shared" si="6"/>
        <v>15</v>
      </c>
      <c r="U7">
        <f t="shared" ref="U7:Z7" si="7">T7+1</f>
        <v>16</v>
      </c>
      <c r="V7">
        <f t="shared" si="7"/>
        <v>17</v>
      </c>
      <c r="W7">
        <f t="shared" si="7"/>
        <v>18</v>
      </c>
      <c r="X7">
        <f t="shared" si="7"/>
        <v>19</v>
      </c>
      <c r="Y7">
        <f t="shared" si="7"/>
        <v>20</v>
      </c>
      <c r="Z7">
        <f t="shared" si="7"/>
        <v>21</v>
      </c>
      <c r="AA7">
        <v>28</v>
      </c>
      <c r="AB7">
        <f>AA7+1</f>
        <v>29</v>
      </c>
      <c r="AC7">
        <f t="shared" ref="AC7:AE7" si="8">AB7+1</f>
        <v>30</v>
      </c>
      <c r="AD7">
        <f t="shared" si="8"/>
        <v>31</v>
      </c>
      <c r="AE7">
        <f t="shared" si="8"/>
        <v>32</v>
      </c>
      <c r="AF7">
        <v>33</v>
      </c>
      <c r="AG7">
        <f>AF7+1</f>
        <v>34</v>
      </c>
      <c r="AH7">
        <f>AG7+1</f>
        <v>35</v>
      </c>
      <c r="AI7">
        <f>AH7+1</f>
        <v>36</v>
      </c>
      <c r="AK7">
        <f t="shared" ca="1" si="1"/>
        <v>1</v>
      </c>
      <c r="AL7">
        <f t="shared" si="1"/>
        <v>1</v>
      </c>
      <c r="AM7">
        <f t="shared" si="1"/>
        <v>2</v>
      </c>
      <c r="AN7">
        <f t="shared" si="1"/>
        <v>3</v>
      </c>
      <c r="AO7">
        <f t="shared" si="1"/>
        <v>4</v>
      </c>
      <c r="AP7">
        <f t="shared" si="1"/>
        <v>5</v>
      </c>
      <c r="AQ7">
        <f t="shared" si="1"/>
        <v>6</v>
      </c>
      <c r="AR7">
        <f t="shared" si="1"/>
        <v>7</v>
      </c>
      <c r="AS7">
        <f t="shared" si="1"/>
        <v>8</v>
      </c>
      <c r="AT7">
        <f t="shared" si="1"/>
        <v>9</v>
      </c>
      <c r="AU7">
        <f t="shared" si="2"/>
        <v>10</v>
      </c>
      <c r="AV7">
        <f t="shared" si="2"/>
        <v>11</v>
      </c>
      <c r="AW7">
        <f t="shared" si="2"/>
        <v>12</v>
      </c>
      <c r="AX7">
        <f t="shared" si="2"/>
        <v>13</v>
      </c>
      <c r="AY7">
        <f t="shared" si="2"/>
        <v>14</v>
      </c>
      <c r="AZ7">
        <f t="shared" si="2"/>
        <v>15</v>
      </c>
      <c r="BA7">
        <f t="shared" si="2"/>
        <v>16</v>
      </c>
      <c r="BB7">
        <f t="shared" si="2"/>
        <v>17</v>
      </c>
      <c r="BC7">
        <f t="shared" si="2"/>
        <v>18</v>
      </c>
      <c r="BD7">
        <f t="shared" si="2"/>
        <v>19</v>
      </c>
      <c r="BE7">
        <f t="shared" si="3"/>
        <v>20</v>
      </c>
      <c r="BF7">
        <f t="shared" si="3"/>
        <v>21</v>
      </c>
      <c r="BG7">
        <v>28</v>
      </c>
      <c r="BH7">
        <f>BG7+1</f>
        <v>29</v>
      </c>
      <c r="BI7">
        <f t="shared" ref="BI7:BK7" si="9">BH7+1</f>
        <v>30</v>
      </c>
      <c r="BJ7">
        <f t="shared" si="9"/>
        <v>31</v>
      </c>
      <c r="BK7">
        <f t="shared" si="9"/>
        <v>32</v>
      </c>
      <c r="BL7">
        <f t="shared" si="5"/>
        <v>33</v>
      </c>
      <c r="BM7">
        <f t="shared" si="5"/>
        <v>34</v>
      </c>
      <c r="BN7">
        <f t="shared" si="5"/>
        <v>35</v>
      </c>
      <c r="BO7">
        <f t="shared" si="5"/>
        <v>36</v>
      </c>
    </row>
    <row r="8" spans="2:67" ht="22.8">
      <c r="B8" s="17" t="s">
        <v>76</v>
      </c>
      <c r="C8" s="17"/>
      <c r="D8" s="16" t="s">
        <v>81</v>
      </c>
      <c r="E8" s="16" t="str">
        <f>Current_Period&amp;" Rates"</f>
        <v>2025/26 Rates</v>
      </c>
      <c r="F8" s="16" t="str">
        <f>E8</f>
        <v>2025/26 Rates</v>
      </c>
      <c r="G8" s="16" t="str">
        <f t="shared" ref="G8:T8" si="10">F8</f>
        <v>2025/26 Rates</v>
      </c>
      <c r="H8" s="16" t="str">
        <f t="shared" si="10"/>
        <v>2025/26 Rates</v>
      </c>
      <c r="I8" s="16" t="str">
        <f t="shared" si="10"/>
        <v>2025/26 Rates</v>
      </c>
      <c r="J8" s="16" t="str">
        <f t="shared" si="10"/>
        <v>2025/26 Rates</v>
      </c>
      <c r="K8" s="16" t="str">
        <f t="shared" si="10"/>
        <v>2025/26 Rates</v>
      </c>
      <c r="L8" s="16" t="str">
        <f t="shared" si="10"/>
        <v>2025/26 Rates</v>
      </c>
      <c r="M8" s="16" t="str">
        <f t="shared" si="10"/>
        <v>2025/26 Rates</v>
      </c>
      <c r="N8" s="16" t="str">
        <f t="shared" si="10"/>
        <v>2025/26 Rates</v>
      </c>
      <c r="O8" s="16" t="str">
        <f t="shared" si="10"/>
        <v>2025/26 Rates</v>
      </c>
      <c r="P8" s="16" t="str">
        <f t="shared" si="10"/>
        <v>2025/26 Rates</v>
      </c>
      <c r="Q8" s="16" t="str">
        <f t="shared" si="10"/>
        <v>2025/26 Rates</v>
      </c>
      <c r="R8" s="16" t="str">
        <f t="shared" si="10"/>
        <v>2025/26 Rates</v>
      </c>
      <c r="S8" s="16" t="str">
        <f t="shared" si="10"/>
        <v>2025/26 Rates</v>
      </c>
      <c r="T8" s="16" t="str">
        <f t="shared" si="10"/>
        <v>2025/26 Rates</v>
      </c>
      <c r="U8" s="16" t="str">
        <f t="shared" ref="U8:AI8" si="11">T8</f>
        <v>2025/26 Rates</v>
      </c>
      <c r="V8" s="16" t="str">
        <f t="shared" si="11"/>
        <v>2025/26 Rates</v>
      </c>
      <c r="W8" s="16" t="str">
        <f t="shared" si="11"/>
        <v>2025/26 Rates</v>
      </c>
      <c r="X8" s="16" t="str">
        <f t="shared" si="11"/>
        <v>2025/26 Rates</v>
      </c>
      <c r="Y8" s="16" t="str">
        <f t="shared" si="11"/>
        <v>2025/26 Rates</v>
      </c>
      <c r="Z8" s="16" t="str">
        <f t="shared" si="11"/>
        <v>2025/26 Rates</v>
      </c>
      <c r="AA8" s="16" t="str">
        <f t="shared" si="11"/>
        <v>2025/26 Rates</v>
      </c>
      <c r="AB8" s="16" t="str">
        <f>AA8</f>
        <v>2025/26 Rates</v>
      </c>
      <c r="AC8" s="16" t="str">
        <f t="shared" ref="AC8" si="12">AB8</f>
        <v>2025/26 Rates</v>
      </c>
      <c r="AD8" s="16" t="str">
        <f t="shared" ref="AD8" si="13">AC8</f>
        <v>2025/26 Rates</v>
      </c>
      <c r="AE8" s="16" t="str">
        <f t="shared" ref="AE8" si="14">AD8</f>
        <v>2025/26 Rates</v>
      </c>
      <c r="AF8" s="16" t="str">
        <f>Y8</f>
        <v>2025/26 Rates</v>
      </c>
      <c r="AG8" s="16" t="str">
        <f t="shared" si="11"/>
        <v>2025/26 Rates</v>
      </c>
      <c r="AH8" s="16" t="str">
        <f t="shared" si="11"/>
        <v>2025/26 Rates</v>
      </c>
      <c r="AI8" s="16" t="str">
        <f t="shared" si="11"/>
        <v>2025/26 Rates</v>
      </c>
      <c r="AK8" s="16" t="str">
        <f>New_Period&amp;" Rates"</f>
        <v>2026/27 Rates</v>
      </c>
      <c r="AL8" s="16" t="str">
        <f>AK8</f>
        <v>2026/27 Rates</v>
      </c>
      <c r="AM8" s="16" t="str">
        <f t="shared" ref="AM8:AZ8" si="15">AL8</f>
        <v>2026/27 Rates</v>
      </c>
      <c r="AN8" s="16" t="str">
        <f t="shared" si="15"/>
        <v>2026/27 Rates</v>
      </c>
      <c r="AO8" s="16" t="str">
        <f t="shared" si="15"/>
        <v>2026/27 Rates</v>
      </c>
      <c r="AP8" s="16" t="str">
        <f t="shared" si="15"/>
        <v>2026/27 Rates</v>
      </c>
      <c r="AQ8" s="16" t="str">
        <f t="shared" si="15"/>
        <v>2026/27 Rates</v>
      </c>
      <c r="AR8" s="16" t="str">
        <f t="shared" si="15"/>
        <v>2026/27 Rates</v>
      </c>
      <c r="AS8" s="16" t="str">
        <f t="shared" si="15"/>
        <v>2026/27 Rates</v>
      </c>
      <c r="AT8" s="16" t="str">
        <f t="shared" si="15"/>
        <v>2026/27 Rates</v>
      </c>
      <c r="AU8" s="16" t="str">
        <f t="shared" si="15"/>
        <v>2026/27 Rates</v>
      </c>
      <c r="AV8" s="16" t="str">
        <f t="shared" si="15"/>
        <v>2026/27 Rates</v>
      </c>
      <c r="AW8" s="16" t="str">
        <f t="shared" si="15"/>
        <v>2026/27 Rates</v>
      </c>
      <c r="AX8" s="16" t="str">
        <f t="shared" si="15"/>
        <v>2026/27 Rates</v>
      </c>
      <c r="AY8" s="16" t="str">
        <f t="shared" si="15"/>
        <v>2026/27 Rates</v>
      </c>
      <c r="AZ8" s="16" t="str">
        <f t="shared" si="15"/>
        <v>2026/27 Rates</v>
      </c>
      <c r="BA8" s="16" t="str">
        <f t="shared" ref="BA8:BO8" si="16">AZ8</f>
        <v>2026/27 Rates</v>
      </c>
      <c r="BB8" s="16" t="str">
        <f t="shared" si="16"/>
        <v>2026/27 Rates</v>
      </c>
      <c r="BC8" s="16" t="str">
        <f t="shared" si="16"/>
        <v>2026/27 Rates</v>
      </c>
      <c r="BD8" s="16" t="str">
        <f t="shared" si="16"/>
        <v>2026/27 Rates</v>
      </c>
      <c r="BE8" s="16" t="str">
        <f t="shared" si="16"/>
        <v>2026/27 Rates</v>
      </c>
      <c r="BF8" s="16" t="str">
        <f t="shared" si="16"/>
        <v>2026/27 Rates</v>
      </c>
      <c r="BG8" s="16" t="str">
        <f>BF8</f>
        <v>2026/27 Rates</v>
      </c>
      <c r="BH8" s="16" t="str">
        <f t="shared" ref="BH8" si="17">BG8</f>
        <v>2026/27 Rates</v>
      </c>
      <c r="BI8" s="16" t="str">
        <f t="shared" ref="BI8" si="18">BH8</f>
        <v>2026/27 Rates</v>
      </c>
      <c r="BJ8" s="16" t="str">
        <f t="shared" ref="BJ8:BK8" si="19">BI8</f>
        <v>2026/27 Rates</v>
      </c>
      <c r="BK8" s="16" t="str">
        <f t="shared" si="19"/>
        <v>2026/27 Rates</v>
      </c>
      <c r="BL8" s="16" t="str">
        <f>BE8</f>
        <v>2026/27 Rates</v>
      </c>
      <c r="BM8" s="16" t="str">
        <f t="shared" si="16"/>
        <v>2026/27 Rates</v>
      </c>
      <c r="BN8" s="16" t="str">
        <f t="shared" si="16"/>
        <v>2026/27 Rates</v>
      </c>
      <c r="BO8" s="16" t="str">
        <f t="shared" si="16"/>
        <v>2026/27 Rates</v>
      </c>
    </row>
    <row r="9" spans="2:67" ht="3.9" customHeight="1"/>
    <row r="10" spans="2:67" ht="12.6" customHeight="1">
      <c r="C10" t="s">
        <v>75</v>
      </c>
      <c r="D10" s="21" t="s">
        <v>80</v>
      </c>
      <c r="E10" s="43">
        <f ca="1">SUMIFS(F10:AI10,$F$7:$AI$7,$F$2)</f>
        <v>0</v>
      </c>
      <c r="F10" s="4">
        <f>IFERROR('Rates Table'!F10*SPU_Annual_Total_Energy,0)/100</f>
        <v>0</v>
      </c>
      <c r="G10" s="4">
        <f>IFERROR('Rates Table'!G10*SPU_Annual_Total_Energy,0)/100</f>
        <v>0</v>
      </c>
      <c r="H10" s="4">
        <f>IFERROR('Rates Table'!H10*SPU_Annual_Total_Energy,0)/100</f>
        <v>0</v>
      </c>
      <c r="I10" s="4">
        <f>IFERROR('Rates Table'!I10*SPU_Annual_Total_Energy,0)/100</f>
        <v>0</v>
      </c>
      <c r="J10" s="4">
        <f>IFERROR('Rates Table'!J10*SPU_Annual_Total_Energy,0)/100</f>
        <v>0</v>
      </c>
      <c r="K10" s="4">
        <f>IFERROR('Rates Table'!K10*SPU_Annual_Total_Energy,0)/100</f>
        <v>0</v>
      </c>
      <c r="L10" s="4">
        <f>IFERROR('Rates Table'!L10*SPU_Annual_Total_Energy,0)/100</f>
        <v>0</v>
      </c>
      <c r="M10" s="4">
        <f>IFERROR('Rates Table'!M10*SPU_Annual_Total_Energy,0)/100</f>
        <v>0</v>
      </c>
      <c r="N10" s="4">
        <f>IFERROR('Rates Table'!N10*SPU_Annual_Total_Energy,0)/100</f>
        <v>0</v>
      </c>
      <c r="O10" s="4">
        <f>IFERROR('Rates Table'!O10*SPU_Annual_Total_Energy,0)/100</f>
        <v>0</v>
      </c>
      <c r="P10" s="4">
        <f>IFERROR('Rates Table'!P10*SPU_Annual_Total_Energy,0)/100</f>
        <v>0</v>
      </c>
      <c r="Q10" s="4">
        <f>IFERROR('Rates Table'!Q10*SPU_Annual_Total_Energy,0)/100</f>
        <v>0</v>
      </c>
      <c r="R10" s="4">
        <f>IFERROR('Rates Table'!R10*SPU_Annual_Total_Energy,0)/100</f>
        <v>0</v>
      </c>
      <c r="S10" s="4">
        <f>IFERROR('Rates Table'!S10*SPU_Annual_Total_Energy,0)/100</f>
        <v>0</v>
      </c>
      <c r="T10" s="4">
        <f>IFERROR('Rates Table'!T10*SPU_Annual_Total_Energy,0)/100</f>
        <v>0</v>
      </c>
      <c r="U10" s="4">
        <f>IFERROR('Rates Table'!U10*SPU_Annual_Total_Energy,0)/100</f>
        <v>0</v>
      </c>
      <c r="V10" s="4">
        <f>IFERROR('Rates Table'!V10*SPU_Annual_Total_Energy,0)/100</f>
        <v>0</v>
      </c>
      <c r="W10" s="4">
        <f>IFERROR('Rates Table'!W10*SPU_Annual_Total_Energy,0)/100</f>
        <v>0</v>
      </c>
      <c r="X10" s="4">
        <f>IFERROR('Rates Table'!X10*SPU_Annual_Total_Energy,0)/100</f>
        <v>0</v>
      </c>
      <c r="Y10" s="4">
        <f>IFERROR('Rates Table'!Y10*SPU_Annual_Total_Energy,0)/100</f>
        <v>0</v>
      </c>
      <c r="Z10" s="4">
        <f>IFERROR('Rates Table'!Z10*SPU_Annual_Total_Energy,0)/100</f>
        <v>0</v>
      </c>
      <c r="AA10" s="4"/>
      <c r="AB10" s="4">
        <f>IFERROR('Rates Table'!AB10*SPU_Annual_Total_Energy,0)/100</f>
        <v>0</v>
      </c>
      <c r="AC10" s="4">
        <f>IFERROR('Rates Table'!AC10*SPU_Annual_Total_Energy,0)/100</f>
        <v>0</v>
      </c>
      <c r="AD10" s="4">
        <f>IFERROR('Rates Table'!AD10*SPU_Annual_Total_Energy,0)/100</f>
        <v>0</v>
      </c>
      <c r="AE10" s="4">
        <f>IFERROR('Rates Table'!AF10*SPU_Annual_Total_Energy,0)/100</f>
        <v>0</v>
      </c>
      <c r="AF10" s="4">
        <f>IFERROR('Rates Table'!AF10*Homeflex_Total_Energy,0)/100</f>
        <v>0</v>
      </c>
      <c r="AG10" s="4">
        <f>IFERROR('Rates Table'!AG10*Homeflex_Total_Energy,0)/100</f>
        <v>0</v>
      </c>
      <c r="AH10" s="4">
        <f>IFERROR('Rates Table'!AH10*Homeflex_Total_Energy,0)/100</f>
        <v>0</v>
      </c>
      <c r="AI10" s="4">
        <f>IFERROR('Rates Table'!AI10*Homeflex_Total_Energy,0)/100</f>
        <v>0</v>
      </c>
      <c r="AK10" s="43">
        <f ca="1">SUMIFS(AL10:BO10,$F$7:$AI$7,Selected_Tariff_ID)</f>
        <v>0</v>
      </c>
      <c r="AL10" s="4">
        <f>IFERROR('Rates Table'!AL10*SPU_Annual_Total_Energy,0)/100</f>
        <v>0</v>
      </c>
      <c r="AM10" s="4">
        <f>IFERROR('Rates Table'!AM10*SPU_Annual_Total_Energy,0)/100</f>
        <v>0</v>
      </c>
      <c r="AN10" s="4">
        <f>IFERROR('Rates Table'!AN10*SPU_Annual_Total_Energy,0)/100</f>
        <v>0</v>
      </c>
      <c r="AO10" s="4">
        <f>IFERROR('Rates Table'!AO10*SPU_Annual_Total_Energy,0)/100</f>
        <v>0</v>
      </c>
      <c r="AP10" s="4">
        <f>IFERROR('Rates Table'!AP10*SPU_Annual_Total_Energy,0)/100</f>
        <v>0</v>
      </c>
      <c r="AQ10" s="4">
        <f>IFERROR('Rates Table'!AQ10*SPU_Annual_Total_Energy,0)/100</f>
        <v>0</v>
      </c>
      <c r="AR10" s="4">
        <f>IFERROR('Rates Table'!AR10*SPU_Annual_Total_Energy,0)/100</f>
        <v>0</v>
      </c>
      <c r="AS10" s="4">
        <f>IFERROR('Rates Table'!AS10*SPU_Annual_Total_Energy,0)/100</f>
        <v>0</v>
      </c>
      <c r="AT10" s="4">
        <f>IFERROR('Rates Table'!AT10*SPU_Annual_Total_Energy,0)/100</f>
        <v>0</v>
      </c>
      <c r="AU10" s="4">
        <f>IFERROR('Rates Table'!AU10*SPU_Annual_Total_Energy,0)/100</f>
        <v>0</v>
      </c>
      <c r="AV10" s="4">
        <f>IFERROR('Rates Table'!AV10*SPU_Annual_Total_Energy,0)/100</f>
        <v>0</v>
      </c>
      <c r="AW10" s="4">
        <f>IFERROR('Rates Table'!AW10*SPU_Annual_Total_Energy,0)/100</f>
        <v>0</v>
      </c>
      <c r="AX10" s="4">
        <f>IFERROR('Rates Table'!AX10*SPU_Annual_Total_Energy,0)/100</f>
        <v>0</v>
      </c>
      <c r="AY10" s="4">
        <f>IFERROR('Rates Table'!AY10*SPU_Annual_Total_Energy,0)/100</f>
        <v>0</v>
      </c>
      <c r="AZ10" s="4">
        <f>IFERROR('Rates Table'!AZ10*SPU_Annual_Total_Energy,0)/100</f>
        <v>0</v>
      </c>
      <c r="BA10" s="4">
        <f>IFERROR('Rates Table'!BA10*SPU_Annual_Total_Energy,0)/100</f>
        <v>0</v>
      </c>
      <c r="BB10" s="4">
        <f>IFERROR('Rates Table'!BB10*SPU_Annual_Total_Energy,0)/100</f>
        <v>0</v>
      </c>
      <c r="BC10" s="4">
        <f>IFERROR('Rates Table'!BC10*SPU_Annual_Total_Energy,0)/100</f>
        <v>0</v>
      </c>
      <c r="BD10" s="4">
        <f>IFERROR('Rates Table'!BD10*SPU_Annual_Total_Energy,0)/100</f>
        <v>0</v>
      </c>
      <c r="BE10" s="4">
        <f>IFERROR('Rates Table'!BE10*SPU_Annual_Total_Energy,0)/100</f>
        <v>0</v>
      </c>
      <c r="BF10" s="4">
        <f>IFERROR('Rates Table'!BF10*SPU_Annual_Total_Energy,0)/100</f>
        <v>0</v>
      </c>
      <c r="BG10" s="4">
        <f>IFERROR('Rates Table'!BG10*SPU_Annual_Total_Energy,0)/100</f>
        <v>0</v>
      </c>
      <c r="BH10" s="4">
        <f>IFERROR('Rates Table'!BH10*SPU_Annual_Total_Energy,0)/100</f>
        <v>0</v>
      </c>
      <c r="BI10" s="4">
        <f>IFERROR('Rates Table'!BI10*SPU_Annual_Total_Energy,0)/100</f>
        <v>0</v>
      </c>
      <c r="BJ10" s="4">
        <f>IFERROR('Rates Table'!BJ10*SPU_Annual_Total_Energy,0)/100</f>
        <v>0</v>
      </c>
      <c r="BK10" s="4">
        <f>IFERROR('Rates Table'!BK10*SPU_Annual_Total_Energy,0)/100</f>
        <v>0</v>
      </c>
      <c r="BL10" s="4">
        <f>IFERROR('Rates Table'!BL10*Homeflex_Total_Energy,0)/100</f>
        <v>0</v>
      </c>
      <c r="BM10" s="4">
        <f>IFERROR('Rates Table'!BM10*Homeflex_Total_Energy,0)/100</f>
        <v>0</v>
      </c>
      <c r="BN10" s="4">
        <f>IFERROR('Rates Table'!BN10*Homeflex_Total_Energy,0)/100</f>
        <v>0</v>
      </c>
      <c r="BO10" s="4">
        <f>IFERROR('Rates Table'!BO10*Homeflex_Total_Energy,0)/100</f>
        <v>0</v>
      </c>
    </row>
    <row r="11" spans="2:67" ht="22.2" customHeight="1">
      <c r="C11" s="133" t="s">
        <v>331</v>
      </c>
      <c r="D11" s="21" t="s">
        <v>80</v>
      </c>
      <c r="E11" s="43">
        <f ca="1">SUMIFS(F11:AI11,$F$7:$AI$7,$F$2)</f>
        <v>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>
        <f>IFERROR('Rates Table'!AF11*Homeflex_Total_Energy,0)/100</f>
        <v>0</v>
      </c>
      <c r="AG11" s="4">
        <f>IFERROR('Rates Table'!AG11*Homeflex_Total_Energy,0)/100</f>
        <v>0</v>
      </c>
      <c r="AH11" s="4">
        <f>IFERROR('Rates Table'!AH11*Homeflex_Total_Energy,0)/100</f>
        <v>0</v>
      </c>
      <c r="AI11" s="4">
        <f>IFERROR('Rates Table'!AI11*Homeflex_Total_Energy,0)/100</f>
        <v>0</v>
      </c>
      <c r="AK11" s="43">
        <f ca="1">SUMIFS(AL11:BO11,$F$7:$AI$7,Selected_Tariff_ID)</f>
        <v>0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>
        <f>IFERROR('Rates Table'!BL11*Homeflex_Total_Energy,0)/100</f>
        <v>0</v>
      </c>
      <c r="BM11" s="4">
        <f>IFERROR('Rates Table'!BM11*Homeflex_Total_Energy,0)/100</f>
        <v>0</v>
      </c>
      <c r="BN11" s="4">
        <f>IFERROR('Rates Table'!BN11*Homeflex_Total_Energy,0)/100</f>
        <v>0</v>
      </c>
      <c r="BO11" s="4">
        <f>IFERROR('Rates Table'!BO11*Homeflex_Total_Energy,0)/100</f>
        <v>0</v>
      </c>
    </row>
    <row r="12" spans="2:67">
      <c r="C12" t="s">
        <v>254</v>
      </c>
      <c r="D12" s="21" t="str">
        <f ca="1">IF(Table_1=1,"R/kVA","R/day")</f>
        <v>R/day</v>
      </c>
      <c r="E12" s="43">
        <f ca="1">SUMIFS(F12:AI12,$F$7:$AI$7,$F$2)</f>
        <v>618.67500000000007</v>
      </c>
      <c r="F12" s="4">
        <f ca="1">IFERROR('Rates Table'!F12*IF($E$2="Homepower Bulk",Inputs!$H$27,PODs*ESKOM_Total_days),0)</f>
        <v>618.67500000000007</v>
      </c>
      <c r="G12" s="4">
        <f ca="1">IFERROR('Rates Table'!G12*IF($E$2="Homepower Bulk",Inputs!$H$27,PODs*ESKOM_Total_days),0)</f>
        <v>918.88750000000005</v>
      </c>
      <c r="H12" s="4">
        <f ca="1">IFERROR('Rates Table'!H12*IF($E$2="Homepower Bulk",Inputs!$H$27,PODs*ESKOM_Total_days),0)</f>
        <v>2292.8083333333334</v>
      </c>
      <c r="I12" s="4">
        <f ca="1">IFERROR('Rates Table'!I12*IF($E$2="Homepower Bulk",Inputs!$H$27,PODs*ESKOM_Total_days),0)</f>
        <v>0</v>
      </c>
      <c r="J12" s="4">
        <f ca="1">IFERROR('Rates Table'!J12*IF($E$2="Homepower Bulk",Inputs!$H$27,PODs*ESKOM_Total_days),0)</f>
        <v>0</v>
      </c>
      <c r="K12" s="4">
        <f ca="1">IFERROR('Rates Table'!K12*IF($E$2="Homepower Bulk",Inputs!$H$27,PODs*ESKOM_Total_days),0)</f>
        <v>0</v>
      </c>
      <c r="L12" s="4">
        <f ca="1">IFERROR('Rates Table'!L12*IF($E$2="Homepower Bulk",Inputs!$H$27,PODs*ESKOM_Total_days),0)</f>
        <v>368.95416666666671</v>
      </c>
      <c r="M12" s="4">
        <f ca="1">IFERROR('Rates Table'!M12*IF($E$2="Homepower Bulk",Inputs!$H$27,PODs*ESKOM_Total_days),0)</f>
        <v>823.37916666666672</v>
      </c>
      <c r="N12" s="4">
        <f ca="1">IFERROR('Rates Table'!N12*IF($E$2="Homepower Bulk",Inputs!$H$27,PODs*ESKOM_Total_days),0)</f>
        <v>1758.6916666666668</v>
      </c>
      <c r="O12" s="4">
        <f ca="1">IFERROR('Rates Table'!O12*IF($E$2="Homepower Bulk",Inputs!$H$27,PODs*ESKOM_Total_days),0)</f>
        <v>253.97916666666666</v>
      </c>
      <c r="P12" s="4">
        <f ca="1">IFERROR('Rates Table'!P12*IF($E$2="Homepower Bulk",Inputs!$H$27,PODs*ESKOM_Total_days),0)</f>
        <v>1682.65</v>
      </c>
      <c r="Q12" s="4">
        <f ca="1">IFERROR('Rates Table'!Q12*IF($E$2="Homepower Bulk",Inputs!$H$27,PODs*ESKOM_Total_days),0)</f>
        <v>1891.9166666666667</v>
      </c>
      <c r="R12" s="4">
        <f ca="1">IFERROR('Rates Table'!R12*IF($E$2="Homepower Bulk",Inputs!$H$27,PODs*ESKOM_Total_days),0)</f>
        <v>2950.1125000000002</v>
      </c>
      <c r="S12" s="4">
        <f ca="1">IFERROR('Rates Table'!S12*IF($E$2="Homepower Bulk",Inputs!$H$27,PODs*ESKOM_Total_days),0)</f>
        <v>4724.3166666666666</v>
      </c>
      <c r="T12" s="4">
        <f ca="1">IFERROR('Rates Table'!T12*IF($E$2="Homepower Bulk",Inputs!$H$27,PODs*ESKOM_Total_days),0)</f>
        <v>1396.7333333333333</v>
      </c>
      <c r="U12" s="4">
        <f ca="1">IFERROR('Rates Table'!U12*IF($E$2="Homepower Bulk",Inputs!$H$27,PODs*ESKOM_Total_days),0)</f>
        <v>0</v>
      </c>
      <c r="V12" s="4">
        <f ca="1">IFERROR('Rates Table'!V12*IF($E$2="Homepower Bulk",Inputs!$H$27,PODs*ESKOM_Total_days),0)</f>
        <v>0</v>
      </c>
      <c r="W12" s="4">
        <f ca="1">IFERROR('Rates Table'!W12*IF($E$2="Homepower Bulk",Inputs!$H$27,PODs*ESKOM_Total_days),0)</f>
        <v>0</v>
      </c>
      <c r="X12" s="4">
        <f ca="1">IFERROR('Rates Table'!X12*IF($E$2="Homepower Bulk",Inputs!$H$27,PODs*ESKOM_Total_days),0)</f>
        <v>0</v>
      </c>
      <c r="Y12" s="4">
        <f ca="1">IFERROR('Rates Table'!Y12*IF($E$2="Homepower Bulk",Inputs!$H$27,PODs*ESKOM_Total_days),0)</f>
        <v>0</v>
      </c>
      <c r="Z12" s="4">
        <f ca="1">IFERROR('Rates Table'!Z12*IF($E$2="Homepower Bulk",Inputs!$H$27,PODs*ESKOM_Total_days),0)</f>
        <v>0</v>
      </c>
      <c r="AA12" s="4">
        <f ca="1">IFERROR('Rates Table'!AA12*IF($E$2="Homepower Bulk",Inputs!$H$27,PODs*ESKOM_Total_days),0)</f>
        <v>0</v>
      </c>
      <c r="AB12" s="4">
        <f ca="1">IFERROR('Rates Table'!AB12*IF($E$2="Homepower Bulk",Inputs!$H$27,PODs*ESKOM_Total_days),0)</f>
        <v>0</v>
      </c>
      <c r="AC12" s="4">
        <f ca="1">IFERROR('Rates Table'!AC12*IF($E$2="Homepower Bulk",Inputs!$H$27,PODs*ESKOM_Total_days),0)</f>
        <v>0</v>
      </c>
      <c r="AD12" s="4">
        <f ca="1">IFERROR('Rates Table'!AD12*IF($E$2="Homepower Bulk",Inputs!$H$27,PODs*ESKOM_Total_days),0)</f>
        <v>0</v>
      </c>
      <c r="AE12" s="4">
        <f ca="1">IFERROR('Rates Table'!AE12*IF($E$2="Homepower Bulk",Inputs!$H$27,PODs*ESKOM_Total_days),0)</f>
        <v>0</v>
      </c>
      <c r="AF12" s="4">
        <f ca="1">IFERROR('Rates Table'!AF12*IF($E$2="Homepower Bulk",Inputs!$H$27,PODs*ESKOM_Total_days),0)</f>
        <v>368.95416666666671</v>
      </c>
      <c r="AG12" s="4">
        <f ca="1">IFERROR('Rates Table'!AG12*IF($E$2="Homepower Bulk",Inputs!$H$27,PODs*ESKOM_Total_days),0)</f>
        <v>823.37916666666672</v>
      </c>
      <c r="AH12" s="4">
        <f ca="1">IFERROR('Rates Table'!AH12*IF($E$2="Homepower Bulk",Inputs!$H$27,PODs*ESKOM_Total_days),0)</f>
        <v>1758.6916666666668</v>
      </c>
      <c r="AI12" s="4">
        <f ca="1">IFERROR('Rates Table'!AI12*IF($E$2="Homepower Bulk",Inputs!$H$27,PODs*ESKOM_Total_days),0)</f>
        <v>253.97916666666666</v>
      </c>
      <c r="AK12" s="43">
        <f ca="1">SUMIFS(AL12:BO12,$F$7:$AI$7,Selected_Tariff_ID)</f>
        <v>672.81666666666672</v>
      </c>
      <c r="AL12" s="4">
        <f ca="1">IFERROR('Rates Table'!AL12*IF($E$2="Homepower Bulk",Inputs!$H$27,PODs*ESKOM_Total_days),0)</f>
        <v>672.81666666666672</v>
      </c>
      <c r="AM12" s="4">
        <f ca="1">IFERROR('Rates Table'!AM12*IF($E$2="Homepower Bulk",Inputs!$H$27,PODs*ESKOM_Total_days),0)</f>
        <v>999.49166666666667</v>
      </c>
      <c r="AN12" s="4">
        <f ca="1">IFERROR('Rates Table'!AN12*IF($E$2="Homepower Bulk",Inputs!$H$27,PODs*ESKOM_Total_days),0)</f>
        <v>2493.5583333333334</v>
      </c>
      <c r="AO12" s="4">
        <f ca="1">IFERROR('Rates Table'!AO12*IF($E$2="Homepower Bulk",Inputs!$H$27,PODs*ESKOM_Total_days),0)</f>
        <v>0</v>
      </c>
      <c r="AP12" s="4">
        <f ca="1">IFERROR('Rates Table'!AP12*IF($E$2="Homepower Bulk",Inputs!$H$27,PODs*ESKOM_Total_days),0)</f>
        <v>0</v>
      </c>
      <c r="AQ12" s="4">
        <f ca="1">IFERROR('Rates Table'!AQ12*IF($E$2="Homepower Bulk",Inputs!$H$27,PODs*ESKOM_Total_days),0)</f>
        <v>0</v>
      </c>
      <c r="AR12" s="4">
        <f ca="1">IFERROR('Rates Table'!AR12*IF($E$2="Homepower Bulk",Inputs!$H$27,PODs*ESKOM_Total_days),0)</f>
        <v>401.19583333333333</v>
      </c>
      <c r="AS12" s="4">
        <f ca="1">IFERROR('Rates Table'!AS12*IF($E$2="Homepower Bulk",Inputs!$H$27,PODs*ESKOM_Total_days),0)</f>
        <v>895.4666666666667</v>
      </c>
      <c r="AT12" s="4">
        <f ca="1">IFERROR('Rates Table'!AT12*IF($E$2="Homepower Bulk",Inputs!$H$27,PODs*ESKOM_Total_days),0)</f>
        <v>1912.9041666666667</v>
      </c>
      <c r="AU12" s="4">
        <f ca="1">IFERROR('Rates Table'!AU12*IF($E$2="Homepower Bulk",Inputs!$H$27,PODs*ESKOM_Total_days),0)</f>
        <v>276.18333333333334</v>
      </c>
      <c r="AV12" s="4">
        <f ca="1">IFERROR('Rates Table'!AV12*IF($E$2="Homepower Bulk",Inputs!$H$27,PODs*ESKOM_Total_days),0)</f>
        <v>1830.1708333333333</v>
      </c>
      <c r="AW12" s="4">
        <f ca="1">IFERROR('Rates Table'!AW12*IF($E$2="Homepower Bulk",Inputs!$H$27,PODs*ESKOM_Total_days),0)</f>
        <v>2057.6875000000005</v>
      </c>
      <c r="AX12" s="4">
        <f ca="1">IFERROR('Rates Table'!AX12*IF($E$2="Homepower Bulk",Inputs!$H$27,PODs*ESKOM_Total_days),0)</f>
        <v>3208.6541666666667</v>
      </c>
      <c r="AY12" s="4">
        <f ca="1">IFERROR('Rates Table'!AY12*IF($E$2="Homepower Bulk",Inputs!$H$27,PODs*ESKOM_Total_days),0)</f>
        <v>5138.2875000000004</v>
      </c>
      <c r="AZ12" s="4">
        <f ca="1">IFERROR('Rates Table'!AZ12*IF($E$2="Homepower Bulk",Inputs!$H$27,PODs*ESKOM_Total_days),0)</f>
        <v>1519.0083333333332</v>
      </c>
      <c r="BA12" s="4">
        <f ca="1">IFERROR('Rates Table'!BA12*IF($E$2="Homepower Bulk",Inputs!$H$27,PODs*ESKOM_Total_days),0)</f>
        <v>0</v>
      </c>
      <c r="BB12" s="4">
        <f ca="1">IFERROR('Rates Table'!BB12*IF($E$2="Homepower Bulk",Inputs!$H$27,PODs*ESKOM_Total_days),0)</f>
        <v>0</v>
      </c>
      <c r="BC12" s="4">
        <f ca="1">IFERROR('Rates Table'!BC12*IF($E$2="Homepower Bulk",Inputs!$H$27,PODs*ESKOM_Total_days),0)</f>
        <v>0</v>
      </c>
      <c r="BD12" s="4">
        <f ca="1">IFERROR('Rates Table'!BD12*IF($E$2="Homepower Bulk",Inputs!$H$27,PODs*ESKOM_Total_days),0)</f>
        <v>0</v>
      </c>
      <c r="BE12" s="4">
        <f ca="1">IFERROR('Rates Table'!BE12*IF($E$2="Homepower Bulk",Inputs!$H$27,PODs*ESKOM_Total_days),0)</f>
        <v>0</v>
      </c>
      <c r="BF12" s="4">
        <f ca="1">IFERROR('Rates Table'!BF12*IF($E$2="Homepower Bulk",Inputs!$H$27,PODs*ESKOM_Total_days),0)</f>
        <v>0</v>
      </c>
      <c r="BG12" s="4">
        <f ca="1">IFERROR('Rates Table'!BG12*IF($E$2="Homepower Bulk",Inputs!$H$27,PODs*ESKOM_Total_days),0)</f>
        <v>0</v>
      </c>
      <c r="BH12" s="4">
        <f ca="1">IFERROR('Rates Table'!BH12*IF($E$2="Homepower Bulk",Inputs!$H$27,PODs*ESKOM_Total_days),0)</f>
        <v>0</v>
      </c>
      <c r="BI12" s="4">
        <f ca="1">IFERROR('Rates Table'!BI12*IF($E$2="Homepower Bulk",Inputs!$H$27,PODs*ESKOM_Total_days),0)</f>
        <v>0</v>
      </c>
      <c r="BJ12" s="4">
        <f ca="1">IFERROR('Rates Table'!BJ12*IF($E$2="Homepower Bulk",Inputs!$H$27,PODs*ESKOM_Total_days),0)</f>
        <v>0</v>
      </c>
      <c r="BK12" s="4">
        <f ca="1">IFERROR('Rates Table'!BK12*IF($E$2="Homepower Bulk",Inputs!$H$27,PODs*ESKOM_Total_days),0)</f>
        <v>0</v>
      </c>
      <c r="BL12" s="4">
        <f ca="1">IFERROR('Rates Table'!BL12*IF($E$2="Homepower Bulk",Inputs!$H$27,PODs*ESKOM_Total_days),0)</f>
        <v>401.19583333333333</v>
      </c>
      <c r="BM12" s="4">
        <f ca="1">IFERROR('Rates Table'!BM12*IF($E$2="Homepower Bulk",Inputs!$H$27,PODs*ESKOM_Total_days),0)</f>
        <v>895.4666666666667</v>
      </c>
      <c r="BN12" s="4">
        <f ca="1">IFERROR('Rates Table'!BN12*IF($E$2="Homepower Bulk",Inputs!$H$27,PODs*ESKOM_Total_days),0)</f>
        <v>1912.9041666666667</v>
      </c>
      <c r="BO12" s="4">
        <f ca="1">IFERROR('Rates Table'!BO12*IF($E$2="Homepower Bulk",Inputs!$H$27,PODs*ESKOM_Total_days),0)</f>
        <v>276.18333333333334</v>
      </c>
    </row>
    <row r="13" spans="2:67" ht="3.9" customHeight="1"/>
    <row r="14" spans="2:67">
      <c r="B14" s="6" t="s">
        <v>82</v>
      </c>
      <c r="C14" s="6"/>
      <c r="D14" s="5"/>
      <c r="E14" s="5">
        <f t="shared" ref="E14:T14" ca="1" si="20">SUM(E10:E12)</f>
        <v>618.67500000000007</v>
      </c>
      <c r="F14" s="5">
        <f t="shared" ca="1" si="20"/>
        <v>618.67500000000007</v>
      </c>
      <c r="G14" s="5">
        <f t="shared" ca="1" si="20"/>
        <v>918.88750000000005</v>
      </c>
      <c r="H14" s="5">
        <f t="shared" ca="1" si="20"/>
        <v>2292.8083333333334</v>
      </c>
      <c r="I14" s="5">
        <f t="shared" ca="1" si="20"/>
        <v>0</v>
      </c>
      <c r="J14" s="5">
        <f t="shared" ca="1" si="20"/>
        <v>0</v>
      </c>
      <c r="K14" s="5">
        <f t="shared" ca="1" si="20"/>
        <v>0</v>
      </c>
      <c r="L14" s="5">
        <f t="shared" ca="1" si="20"/>
        <v>368.95416666666671</v>
      </c>
      <c r="M14" s="5">
        <f t="shared" ca="1" si="20"/>
        <v>823.37916666666672</v>
      </c>
      <c r="N14" s="5">
        <f t="shared" ca="1" si="20"/>
        <v>1758.6916666666668</v>
      </c>
      <c r="O14" s="5">
        <f t="shared" ca="1" si="20"/>
        <v>253.97916666666666</v>
      </c>
      <c r="P14" s="5">
        <f t="shared" ca="1" si="20"/>
        <v>1682.65</v>
      </c>
      <c r="Q14" s="5">
        <f t="shared" ca="1" si="20"/>
        <v>1891.9166666666667</v>
      </c>
      <c r="R14" s="5">
        <f t="shared" ca="1" si="20"/>
        <v>2950.1125000000002</v>
      </c>
      <c r="S14" s="5">
        <f t="shared" ca="1" si="20"/>
        <v>4724.3166666666666</v>
      </c>
      <c r="T14" s="5">
        <f t="shared" ca="1" si="20"/>
        <v>1396.7333333333333</v>
      </c>
      <c r="U14" s="5">
        <f t="shared" ref="U14:AF14" ca="1" si="21">SUM(U10:U12)</f>
        <v>0</v>
      </c>
      <c r="V14" s="5">
        <f t="shared" ca="1" si="21"/>
        <v>0</v>
      </c>
      <c r="W14" s="5">
        <f t="shared" ca="1" si="21"/>
        <v>0</v>
      </c>
      <c r="X14" s="5">
        <f t="shared" ca="1" si="21"/>
        <v>0</v>
      </c>
      <c r="Y14" s="5">
        <f t="shared" ca="1" si="21"/>
        <v>0</v>
      </c>
      <c r="Z14" s="5">
        <f ca="1">SUM(Z10:Z12)</f>
        <v>0</v>
      </c>
      <c r="AA14" s="5"/>
      <c r="AB14" s="5">
        <f t="shared" ref="AB14:AE14" ca="1" si="22">SUM(AB10:AB12)</f>
        <v>0</v>
      </c>
      <c r="AC14" s="5">
        <f t="shared" ca="1" si="22"/>
        <v>0</v>
      </c>
      <c r="AD14" s="5">
        <f t="shared" ca="1" si="22"/>
        <v>0</v>
      </c>
      <c r="AE14" s="5">
        <f t="shared" ca="1" si="22"/>
        <v>0</v>
      </c>
      <c r="AF14" s="5">
        <f t="shared" ca="1" si="21"/>
        <v>368.95416666666671</v>
      </c>
      <c r="AG14" s="5">
        <f ca="1">SUM(AG10:AG12)</f>
        <v>823.37916666666672</v>
      </c>
      <c r="AH14" s="5">
        <f ca="1">SUM(AH10:AH12)</f>
        <v>1758.6916666666668</v>
      </c>
      <c r="AI14" s="5">
        <f ca="1">SUM(AI10:AI12)</f>
        <v>253.97916666666666</v>
      </c>
      <c r="AK14" s="5">
        <f ca="1">SUM(AK10:AK12)</f>
        <v>672.81666666666672</v>
      </c>
      <c r="AL14" s="5">
        <f t="shared" ref="AL14:AZ14" ca="1" si="23">SUM(AL10:AL12)</f>
        <v>672.81666666666672</v>
      </c>
      <c r="AM14" s="5">
        <f t="shared" ca="1" si="23"/>
        <v>999.49166666666667</v>
      </c>
      <c r="AN14" s="5">
        <f t="shared" ca="1" si="23"/>
        <v>2493.5583333333334</v>
      </c>
      <c r="AO14" s="5">
        <f t="shared" ca="1" si="23"/>
        <v>0</v>
      </c>
      <c r="AP14" s="5">
        <f t="shared" ca="1" si="23"/>
        <v>0</v>
      </c>
      <c r="AQ14" s="5">
        <f t="shared" ca="1" si="23"/>
        <v>0</v>
      </c>
      <c r="AR14" s="5">
        <f t="shared" ca="1" si="23"/>
        <v>401.19583333333333</v>
      </c>
      <c r="AS14" s="5">
        <f t="shared" ca="1" si="23"/>
        <v>895.4666666666667</v>
      </c>
      <c r="AT14" s="5">
        <f t="shared" ca="1" si="23"/>
        <v>1912.9041666666667</v>
      </c>
      <c r="AU14" s="5">
        <f t="shared" ca="1" si="23"/>
        <v>276.18333333333334</v>
      </c>
      <c r="AV14" s="5">
        <f t="shared" ca="1" si="23"/>
        <v>1830.1708333333333</v>
      </c>
      <c r="AW14" s="5">
        <f t="shared" ca="1" si="23"/>
        <v>2057.6875000000005</v>
      </c>
      <c r="AX14" s="5">
        <f t="shared" ca="1" si="23"/>
        <v>3208.6541666666667</v>
      </c>
      <c r="AY14" s="5">
        <f t="shared" ca="1" si="23"/>
        <v>5138.2875000000004</v>
      </c>
      <c r="AZ14" s="5">
        <f t="shared" ca="1" si="23"/>
        <v>1519.0083333333332</v>
      </c>
      <c r="BA14" s="5">
        <f t="shared" ref="BA14:BL14" ca="1" si="24">SUM(BA10:BA12)</f>
        <v>0</v>
      </c>
      <c r="BB14" s="5">
        <f t="shared" ca="1" si="24"/>
        <v>0</v>
      </c>
      <c r="BC14" s="5">
        <f t="shared" ca="1" si="24"/>
        <v>0</v>
      </c>
      <c r="BD14" s="5">
        <f t="shared" ca="1" si="24"/>
        <v>0</v>
      </c>
      <c r="BE14" s="5">
        <f t="shared" ca="1" si="24"/>
        <v>0</v>
      </c>
      <c r="BF14" s="5">
        <f ca="1">SUM(BF10:BF12)</f>
        <v>0</v>
      </c>
      <c r="BG14" s="5">
        <f t="shared" ref="BG14:BJ14" ca="1" si="25">SUM(BG10:BG12)</f>
        <v>0</v>
      </c>
      <c r="BH14" s="5">
        <f t="shared" ca="1" si="25"/>
        <v>0</v>
      </c>
      <c r="BI14" s="5">
        <f t="shared" ca="1" si="25"/>
        <v>0</v>
      </c>
      <c r="BJ14" s="5">
        <f t="shared" ca="1" si="25"/>
        <v>0</v>
      </c>
      <c r="BK14" s="5">
        <f t="shared" ref="BK14" ca="1" si="26">SUM(BK10:BK12)</f>
        <v>0</v>
      </c>
      <c r="BL14" s="5">
        <f t="shared" ca="1" si="24"/>
        <v>401.19583333333333</v>
      </c>
      <c r="BM14" s="5">
        <f ca="1">SUM(BM10:BM12)</f>
        <v>895.4666666666667</v>
      </c>
      <c r="BN14" s="5">
        <f ca="1">SUM(BN10:BN12)</f>
        <v>1912.9041666666667</v>
      </c>
      <c r="BO14" s="5">
        <f ca="1">SUM(BO10:BO12)</f>
        <v>276.18333333333334</v>
      </c>
    </row>
    <row r="16" spans="2:67" ht="22.8">
      <c r="B16" s="17" t="s">
        <v>121</v>
      </c>
      <c r="C16" s="17"/>
      <c r="D16" s="16" t="s">
        <v>81</v>
      </c>
      <c r="E16" s="16" t="str">
        <f>E$8</f>
        <v>2025/26 Rates</v>
      </c>
      <c r="F16" s="16" t="str">
        <f t="shared" ref="F16:AI16" si="27">F$8</f>
        <v>2025/26 Rates</v>
      </c>
      <c r="G16" s="16" t="str">
        <f t="shared" si="27"/>
        <v>2025/26 Rates</v>
      </c>
      <c r="H16" s="16" t="str">
        <f t="shared" si="27"/>
        <v>2025/26 Rates</v>
      </c>
      <c r="I16" s="16" t="str">
        <f t="shared" si="27"/>
        <v>2025/26 Rates</v>
      </c>
      <c r="J16" s="16" t="str">
        <f t="shared" si="27"/>
        <v>2025/26 Rates</v>
      </c>
      <c r="K16" s="16" t="str">
        <f t="shared" si="27"/>
        <v>2025/26 Rates</v>
      </c>
      <c r="L16" s="16" t="str">
        <f t="shared" si="27"/>
        <v>2025/26 Rates</v>
      </c>
      <c r="M16" s="16" t="str">
        <f t="shared" si="27"/>
        <v>2025/26 Rates</v>
      </c>
      <c r="N16" s="16" t="str">
        <f t="shared" si="27"/>
        <v>2025/26 Rates</v>
      </c>
      <c r="O16" s="16" t="str">
        <f t="shared" si="27"/>
        <v>2025/26 Rates</v>
      </c>
      <c r="P16" s="16" t="str">
        <f t="shared" si="27"/>
        <v>2025/26 Rates</v>
      </c>
      <c r="Q16" s="16" t="str">
        <f t="shared" si="27"/>
        <v>2025/26 Rates</v>
      </c>
      <c r="R16" s="16" t="str">
        <f t="shared" si="27"/>
        <v>2025/26 Rates</v>
      </c>
      <c r="S16" s="16" t="str">
        <f t="shared" si="27"/>
        <v>2025/26 Rates</v>
      </c>
      <c r="T16" s="16" t="str">
        <f t="shared" si="27"/>
        <v>2025/26 Rates</v>
      </c>
      <c r="U16" s="16" t="str">
        <f t="shared" si="27"/>
        <v>2025/26 Rates</v>
      </c>
      <c r="V16" s="16" t="str">
        <f t="shared" si="27"/>
        <v>2025/26 Rates</v>
      </c>
      <c r="W16" s="16" t="str">
        <f t="shared" si="27"/>
        <v>2025/26 Rates</v>
      </c>
      <c r="X16" s="16" t="str">
        <f t="shared" si="27"/>
        <v>2025/26 Rates</v>
      </c>
      <c r="Y16" s="16" t="str">
        <f t="shared" si="27"/>
        <v>2025/26 Rates</v>
      </c>
      <c r="Z16" s="16" t="str">
        <f t="shared" si="27"/>
        <v>2025/26 Rates</v>
      </c>
      <c r="AA16" s="16" t="str">
        <f t="shared" si="27"/>
        <v>2025/26 Rates</v>
      </c>
      <c r="AB16" s="16" t="str">
        <f t="shared" si="27"/>
        <v>2025/26 Rates</v>
      </c>
      <c r="AC16" s="16" t="str">
        <f t="shared" si="27"/>
        <v>2025/26 Rates</v>
      </c>
      <c r="AD16" s="16" t="str">
        <f t="shared" si="27"/>
        <v>2025/26 Rates</v>
      </c>
      <c r="AE16" s="16" t="str">
        <f t="shared" si="27"/>
        <v>2025/26 Rates</v>
      </c>
      <c r="AF16" s="16" t="str">
        <f t="shared" si="27"/>
        <v>2025/26 Rates</v>
      </c>
      <c r="AG16" s="16" t="str">
        <f t="shared" si="27"/>
        <v>2025/26 Rates</v>
      </c>
      <c r="AH16" s="16" t="str">
        <f t="shared" si="27"/>
        <v>2025/26 Rates</v>
      </c>
      <c r="AI16" s="16" t="str">
        <f t="shared" si="27"/>
        <v>2025/26 Rates</v>
      </c>
      <c r="AK16" s="16" t="str">
        <f>AK$8</f>
        <v>2026/27 Rates</v>
      </c>
      <c r="AL16" s="16" t="str">
        <f t="shared" ref="AL16:BO16" si="28">AL$8</f>
        <v>2026/27 Rates</v>
      </c>
      <c r="AM16" s="16" t="str">
        <f t="shared" si="28"/>
        <v>2026/27 Rates</v>
      </c>
      <c r="AN16" s="16" t="str">
        <f t="shared" si="28"/>
        <v>2026/27 Rates</v>
      </c>
      <c r="AO16" s="16" t="str">
        <f t="shared" si="28"/>
        <v>2026/27 Rates</v>
      </c>
      <c r="AP16" s="16" t="str">
        <f t="shared" si="28"/>
        <v>2026/27 Rates</v>
      </c>
      <c r="AQ16" s="16" t="str">
        <f t="shared" si="28"/>
        <v>2026/27 Rates</v>
      </c>
      <c r="AR16" s="16" t="str">
        <f t="shared" si="28"/>
        <v>2026/27 Rates</v>
      </c>
      <c r="AS16" s="16" t="str">
        <f t="shared" si="28"/>
        <v>2026/27 Rates</v>
      </c>
      <c r="AT16" s="16" t="str">
        <f t="shared" si="28"/>
        <v>2026/27 Rates</v>
      </c>
      <c r="AU16" s="16" t="str">
        <f t="shared" si="28"/>
        <v>2026/27 Rates</v>
      </c>
      <c r="AV16" s="16" t="str">
        <f t="shared" si="28"/>
        <v>2026/27 Rates</v>
      </c>
      <c r="AW16" s="16" t="str">
        <f t="shared" si="28"/>
        <v>2026/27 Rates</v>
      </c>
      <c r="AX16" s="16" t="str">
        <f t="shared" si="28"/>
        <v>2026/27 Rates</v>
      </c>
      <c r="AY16" s="16" t="str">
        <f t="shared" si="28"/>
        <v>2026/27 Rates</v>
      </c>
      <c r="AZ16" s="16" t="str">
        <f t="shared" si="28"/>
        <v>2026/27 Rates</v>
      </c>
      <c r="BA16" s="16" t="str">
        <f t="shared" si="28"/>
        <v>2026/27 Rates</v>
      </c>
      <c r="BB16" s="16" t="str">
        <f t="shared" si="28"/>
        <v>2026/27 Rates</v>
      </c>
      <c r="BC16" s="16" t="str">
        <f t="shared" si="28"/>
        <v>2026/27 Rates</v>
      </c>
      <c r="BD16" s="16" t="str">
        <f t="shared" si="28"/>
        <v>2026/27 Rates</v>
      </c>
      <c r="BE16" s="16" t="str">
        <f t="shared" si="28"/>
        <v>2026/27 Rates</v>
      </c>
      <c r="BF16" s="16" t="str">
        <f t="shared" si="28"/>
        <v>2026/27 Rates</v>
      </c>
      <c r="BG16" s="16" t="str">
        <f t="shared" si="28"/>
        <v>2026/27 Rates</v>
      </c>
      <c r="BH16" s="16" t="str">
        <f t="shared" si="28"/>
        <v>2026/27 Rates</v>
      </c>
      <c r="BI16" s="16" t="str">
        <f t="shared" si="28"/>
        <v>2026/27 Rates</v>
      </c>
      <c r="BJ16" s="16" t="str">
        <f t="shared" si="28"/>
        <v>2026/27 Rates</v>
      </c>
      <c r="BK16" s="16" t="str">
        <f t="shared" si="28"/>
        <v>2026/27 Rates</v>
      </c>
      <c r="BL16" s="16" t="str">
        <f t="shared" si="28"/>
        <v>2026/27 Rates</v>
      </c>
      <c r="BM16" s="16" t="str">
        <f t="shared" si="28"/>
        <v>2026/27 Rates</v>
      </c>
      <c r="BN16" s="16" t="str">
        <f t="shared" si="28"/>
        <v>2026/27 Rates</v>
      </c>
      <c r="BO16" s="16" t="str">
        <f t="shared" si="28"/>
        <v>2026/27 Rates</v>
      </c>
    </row>
    <row r="17" spans="2:67" ht="3.9" customHeight="1"/>
    <row r="18" spans="2:67">
      <c r="C18" t="s">
        <v>91</v>
      </c>
      <c r="D18" s="21" t="s">
        <v>80</v>
      </c>
      <c r="E18" s="43">
        <f t="shared" ref="E18:E25" ca="1" si="29">SUMIFS(F18:AI18,$F$7:$AI$7,$F$2)</f>
        <v>0</v>
      </c>
      <c r="F18" s="49">
        <f>IFERROR('Rates Table'!F18*(SPU_Annual_Total_Energy),0)/100</f>
        <v>0</v>
      </c>
      <c r="G18" s="49">
        <f>IFERROR('Rates Table'!G18*(SPU_Annual_Total_Energy),0)/100</f>
        <v>0</v>
      </c>
      <c r="H18" s="49">
        <f>IFERROR('Rates Table'!H18*(SPU_Annual_Total_Energy),0)/100</f>
        <v>0</v>
      </c>
      <c r="I18" s="49">
        <f>IFERROR('Rates Table'!I18*(SPU_Annual_Total_Energy),0)/100</f>
        <v>0</v>
      </c>
      <c r="J18" s="49">
        <f>IFERROR('Rates Table'!J18*(SPU_Annual_Total_Energy),0)/100</f>
        <v>0</v>
      </c>
      <c r="K18" s="49">
        <f>IFERROR('Rates Table'!K18*(SPU_Annual_Total_Energy),0)/100</f>
        <v>0</v>
      </c>
      <c r="L18" s="49">
        <f>IFERROR('Rates Table'!L18*(SPU_Annual_Total_Energy),0)/100</f>
        <v>0</v>
      </c>
      <c r="M18" s="49">
        <f>IFERROR('Rates Table'!M18*(SPU_Annual_Total_Energy),0)/100</f>
        <v>0</v>
      </c>
      <c r="N18" s="49">
        <f>IFERROR('Rates Table'!N18*(SPU_Annual_Total_Energy),0)/100</f>
        <v>0</v>
      </c>
      <c r="O18" s="49">
        <f>IFERROR('Rates Table'!O18*(SPU_Annual_Total_Energy),0)/100</f>
        <v>0</v>
      </c>
      <c r="P18" s="49">
        <f>IFERROR('Rates Table'!P18*(SPU_Annual_Total_Energy),0)/100</f>
        <v>0</v>
      </c>
      <c r="Q18" s="49">
        <f>IFERROR('Rates Table'!Q18*(SPU_Annual_Total_Energy),0)/100</f>
        <v>0</v>
      </c>
      <c r="R18" s="49">
        <f>IFERROR('Rates Table'!R18*(SPU_Annual_Total_Energy),0)/100</f>
        <v>0</v>
      </c>
      <c r="S18" s="49">
        <f>IFERROR('Rates Table'!S18*(SPU_Annual_Total_Energy),0)/100</f>
        <v>0</v>
      </c>
      <c r="T18" s="49">
        <f>IFERROR('Rates Table'!T18*(SPU_Annual_Total_Energy),0)/100</f>
        <v>0</v>
      </c>
      <c r="U18" s="49">
        <f>IFERROR('Rates Table'!U18*(SPU_Annual_Total_Energy),0)/100</f>
        <v>0</v>
      </c>
      <c r="V18" s="49">
        <f>IFERROR('Rates Table'!V18*(SPU_Annual_Total_Energy),0)/100</f>
        <v>0</v>
      </c>
      <c r="W18" s="49">
        <f>IFERROR('Rates Table'!W18*(SPU_Annual_Total_Energy),0)/100</f>
        <v>0</v>
      </c>
      <c r="X18" s="49">
        <f>IFERROR('Rates Table'!X18*(SPU_Annual_Total_Energy),0)/100</f>
        <v>0</v>
      </c>
      <c r="Y18" s="49">
        <f>IFERROR('Rates Table'!Y18*(SPU_Annual_Total_Energy),0)/100</f>
        <v>0</v>
      </c>
      <c r="Z18" s="49">
        <f>IFERROR('Rates Table'!Z18*(SPU_Annual_Total_Energy),0)/100</f>
        <v>0</v>
      </c>
      <c r="AA18" s="49"/>
      <c r="AB18" s="49">
        <f>IFERROR('Rates Table'!AB18*(SPU_Annual_Total_Energy),0)/100</f>
        <v>0</v>
      </c>
      <c r="AC18" s="49">
        <f>IFERROR('Rates Table'!AC18*(SPU_Annual_Total_Energy),0)/100</f>
        <v>0</v>
      </c>
      <c r="AD18" s="49">
        <f>IFERROR('Rates Table'!AD18*(SPU_Annual_Total_Energy),0)/100</f>
        <v>0</v>
      </c>
      <c r="AE18" s="49">
        <f>IFERROR('Rates Table'!AF18*(SPU_Annual_Total_Energy),0)/100</f>
        <v>0</v>
      </c>
      <c r="AF18" s="49">
        <f>IFERROR('Rates Table'!AF18*(Homeflex_Total_Energy),0)/100</f>
        <v>0</v>
      </c>
      <c r="AG18" s="49">
        <f>IFERROR('Rates Table'!AG18*(Homeflex_Total_Energy),0)/100</f>
        <v>0</v>
      </c>
      <c r="AH18" s="49">
        <f>IFERROR('Rates Table'!AH18*(Homeflex_Total_Energy),0)/100</f>
        <v>0</v>
      </c>
      <c r="AI18" s="49">
        <f>IFERROR('Rates Table'!AI18*(Homeflex_Total_Energy),0)/100</f>
        <v>0</v>
      </c>
      <c r="AK18" s="43">
        <f t="shared" ref="AK18:AK25" ca="1" si="30">SUMIFS(AL18:BO18,$F$7:$AI$7,Selected_Tariff_ID)</f>
        <v>0</v>
      </c>
      <c r="AL18" s="49">
        <f>IFERROR('Rates Table'!AL18*(SPU_Annual_Total_Energy),0)/100</f>
        <v>0</v>
      </c>
      <c r="AM18" s="49">
        <f>IFERROR('Rates Table'!AM18*(SPU_Annual_Total_Energy),0)/100</f>
        <v>0</v>
      </c>
      <c r="AN18" s="49">
        <f>IFERROR('Rates Table'!AN18*(SPU_Annual_Total_Energy),0)/100</f>
        <v>0</v>
      </c>
      <c r="AO18" s="49">
        <f>IFERROR('Rates Table'!AO18*(SPU_Annual_Total_Energy),0)/100</f>
        <v>0</v>
      </c>
      <c r="AP18" s="49">
        <f>IFERROR('Rates Table'!AP18*(SPU_Annual_Total_Energy),0)/100</f>
        <v>0</v>
      </c>
      <c r="AQ18" s="49">
        <f>IFERROR('Rates Table'!AQ18*(SPU_Annual_Total_Energy),0)/100</f>
        <v>0</v>
      </c>
      <c r="AR18" s="49">
        <f>IFERROR('Rates Table'!AR18*(SPU_Annual_Total_Energy),0)/100</f>
        <v>0</v>
      </c>
      <c r="AS18" s="49">
        <f>IFERROR('Rates Table'!AS18*(SPU_Annual_Total_Energy),0)/100</f>
        <v>0</v>
      </c>
      <c r="AT18" s="49">
        <f>IFERROR('Rates Table'!AT18*(SPU_Annual_Total_Energy),0)/100</f>
        <v>0</v>
      </c>
      <c r="AU18" s="49">
        <f>IFERROR('Rates Table'!AU18*(SPU_Annual_Total_Energy),0)/100</f>
        <v>0</v>
      </c>
      <c r="AV18" s="49">
        <f>IFERROR('Rates Table'!AV18*(SPU_Annual_Total_Energy),0)/100</f>
        <v>0</v>
      </c>
      <c r="AW18" s="49">
        <f>IFERROR('Rates Table'!AW18*(SPU_Annual_Total_Energy),0)/100</f>
        <v>0</v>
      </c>
      <c r="AX18" s="49">
        <f>IFERROR('Rates Table'!AX18*(SPU_Annual_Total_Energy),0)/100</f>
        <v>0</v>
      </c>
      <c r="AY18" s="49">
        <f>IFERROR('Rates Table'!AY18*(SPU_Annual_Total_Energy),0)/100</f>
        <v>0</v>
      </c>
      <c r="AZ18" s="49">
        <f>IFERROR('Rates Table'!AZ18*(SPU_Annual_Total_Energy),0)/100</f>
        <v>0</v>
      </c>
      <c r="BA18" s="49">
        <f>IFERROR('Rates Table'!BA18*(SPU_Annual_Total_Energy),0)/100</f>
        <v>0</v>
      </c>
      <c r="BB18" s="49">
        <f>IFERROR('Rates Table'!BB18*(SPU_Annual_Total_Energy),0)/100</f>
        <v>0</v>
      </c>
      <c r="BC18" s="49">
        <f>IFERROR('Rates Table'!BC18*(SPU_Annual_Total_Energy),0)/100</f>
        <v>0</v>
      </c>
      <c r="BD18" s="49">
        <f>IFERROR('Rates Table'!BD18*(SPU_Annual_Total_Energy),0)/100</f>
        <v>0</v>
      </c>
      <c r="BE18" s="49">
        <f>IFERROR('Rates Table'!BE18*(SPU_Annual_Total_Energy),0)/100</f>
        <v>0</v>
      </c>
      <c r="BF18" s="49">
        <f>IFERROR('Rates Table'!BF18*(SPU_Annual_Total_Energy),0)/100</f>
        <v>0</v>
      </c>
      <c r="BG18" s="49">
        <f>IFERROR('Rates Table'!BG18*(SPU_Annual_Total_Energy),0)/100</f>
        <v>0</v>
      </c>
      <c r="BH18" s="49">
        <f>IFERROR('Rates Table'!BH18*(SPU_Annual_Total_Energy),0)/100</f>
        <v>0</v>
      </c>
      <c r="BI18" s="49">
        <f>IFERROR('Rates Table'!BI18*(SPU_Annual_Total_Energy),0)/100</f>
        <v>0</v>
      </c>
      <c r="BJ18" s="49">
        <f>IFERROR('Rates Table'!BJ18*(SPU_Annual_Total_Energy),0)/100</f>
        <v>0</v>
      </c>
      <c r="BK18" s="49">
        <f>IFERROR('Rates Table'!BK18*(SPU_Annual_Total_Energy),0)/100</f>
        <v>0</v>
      </c>
      <c r="BL18" s="49">
        <f>IFERROR('Rates Table'!BL18*(Homeflex_Total_Energy),0)/100</f>
        <v>0</v>
      </c>
      <c r="BM18" s="49">
        <f>IFERROR('Rates Table'!BM18*(Homeflex_Total_Energy),0)/100</f>
        <v>0</v>
      </c>
      <c r="BN18" s="49">
        <f>IFERROR('Rates Table'!BN18*(Homeflex_Total_Energy),0)/100</f>
        <v>0</v>
      </c>
      <c r="BO18" s="49">
        <f>IFERROR('Rates Table'!BO18*(Homeflex_Total_Energy),0)/100</f>
        <v>0</v>
      </c>
    </row>
    <row r="19" spans="2:67">
      <c r="C19" t="s">
        <v>310</v>
      </c>
      <c r="D19" s="21" t="s">
        <v>80</v>
      </c>
      <c r="E19" s="43">
        <f t="shared" ca="1" si="29"/>
        <v>0</v>
      </c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>
        <f>IFERROR('Rates Table'!AF19*(Homeflex_Peak_Energy_High),0)/100</f>
        <v>0</v>
      </c>
      <c r="AG19" s="49">
        <f>IFERROR('Rates Table'!AG19*(Homeflex_Peak_Energy_High),0)/100</f>
        <v>0</v>
      </c>
      <c r="AH19" s="49">
        <f>IFERROR('Rates Table'!AH19*(Homeflex_Peak_Energy_High),0)/100</f>
        <v>0</v>
      </c>
      <c r="AI19" s="49">
        <f>IFERROR('Rates Table'!AI19*(Homeflex_Peak_Energy_High),0)/100</f>
        <v>0</v>
      </c>
      <c r="AK19" s="43">
        <f t="shared" ca="1" si="30"/>
        <v>0</v>
      </c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>
        <f>IFERROR('Rates Table'!BL19*(Homeflex_Peak_Energy_High),0)/100</f>
        <v>0</v>
      </c>
      <c r="BM19" s="49">
        <f>IFERROR('Rates Table'!BM19*(Homeflex_Peak_Energy_High),0)/100</f>
        <v>0</v>
      </c>
      <c r="BN19" s="49">
        <f>IFERROR('Rates Table'!BN19*(Homeflex_Peak_Energy_High),0)/100</f>
        <v>0</v>
      </c>
      <c r="BO19" s="49">
        <f>IFERROR('Rates Table'!BO19*(Homeflex_Peak_Energy_High),0)/100</f>
        <v>0</v>
      </c>
    </row>
    <row r="20" spans="2:67">
      <c r="C20" t="s">
        <v>311</v>
      </c>
      <c r="D20" s="21" t="s">
        <v>80</v>
      </c>
      <c r="E20" s="43">
        <f t="shared" ca="1" si="29"/>
        <v>0</v>
      </c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>
        <f>IFERROR('Rates Table'!AF20*(Homeflex_Standard_Energy_High),0)/100</f>
        <v>0</v>
      </c>
      <c r="AG20" s="49">
        <f>IFERROR('Rates Table'!AG20*(Homeflex_Standard_Energy_High),0)/100</f>
        <v>0</v>
      </c>
      <c r="AH20" s="49">
        <f>IFERROR('Rates Table'!AH20*(Homeflex_Standard_Energy_High),0)/100</f>
        <v>0</v>
      </c>
      <c r="AI20" s="49">
        <f>IFERROR('Rates Table'!AI20*(Homeflex_Standard_Energy_High),0)/100</f>
        <v>0</v>
      </c>
      <c r="AK20" s="43">
        <f t="shared" ca="1" si="30"/>
        <v>0</v>
      </c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>
        <f>IFERROR('Rates Table'!BL20*(Homeflex_Standard_Energy_High),0)/100</f>
        <v>0</v>
      </c>
      <c r="BM20" s="49">
        <f>IFERROR('Rates Table'!BM20*(Homeflex_Standard_Energy_High),0)/100</f>
        <v>0</v>
      </c>
      <c r="BN20" s="49">
        <f>IFERROR('Rates Table'!BN20*(Homeflex_Standard_Energy_High),0)/100</f>
        <v>0</v>
      </c>
      <c r="BO20" s="49">
        <f>IFERROR('Rates Table'!BO20*(Homeflex_Standard_Energy_High),0)/100</f>
        <v>0</v>
      </c>
    </row>
    <row r="21" spans="2:67">
      <c r="C21" t="s">
        <v>312</v>
      </c>
      <c r="D21" s="21" t="s">
        <v>80</v>
      </c>
      <c r="E21" s="43">
        <f t="shared" ca="1" si="29"/>
        <v>0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>
        <f>IFERROR('Rates Table'!AF21*(Homeflex_OffPeak_Energy_High),0)/100</f>
        <v>0</v>
      </c>
      <c r="AG21" s="49">
        <f>IFERROR('Rates Table'!AG21*(Homeflex_OffPeak_Energy_High),0)/100</f>
        <v>0</v>
      </c>
      <c r="AH21" s="49">
        <f>IFERROR('Rates Table'!AH21*(Homeflex_OffPeak_Energy_High),0)/100</f>
        <v>0</v>
      </c>
      <c r="AI21" s="49">
        <f>IFERROR('Rates Table'!AI21*(Homeflex_OffPeak_Energy_High),0)/100</f>
        <v>0</v>
      </c>
      <c r="AK21" s="43">
        <f t="shared" ca="1" si="30"/>
        <v>0</v>
      </c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>
        <f>IFERROR('Rates Table'!BL21*(Homeflex_OffPeak_Energy_High),0)/100</f>
        <v>0</v>
      </c>
      <c r="BM21" s="49">
        <f>IFERROR('Rates Table'!BM21*(Homeflex_OffPeak_Energy_High),0)/100</f>
        <v>0</v>
      </c>
      <c r="BN21" s="49">
        <f>IFERROR('Rates Table'!BN21*(Homeflex_OffPeak_Energy_High),0)/100</f>
        <v>0</v>
      </c>
      <c r="BO21" s="49">
        <f>IFERROR('Rates Table'!BO21*(Homeflex_OffPeak_Energy_High),0)/100</f>
        <v>0</v>
      </c>
    </row>
    <row r="22" spans="2:67">
      <c r="C22" t="s">
        <v>126</v>
      </c>
      <c r="D22" s="21" t="s">
        <v>80</v>
      </c>
      <c r="E22" s="43">
        <f t="shared" ca="1" si="29"/>
        <v>0</v>
      </c>
      <c r="F22" s="4">
        <f ca="1">IFERROR('Rates Table'!F22*(SPU_Block_1),0)/100</f>
        <v>0</v>
      </c>
      <c r="G22" s="4">
        <f ca="1">IFERROR('Rates Table'!G22*(SPU_Block_1),0)/100</f>
        <v>0</v>
      </c>
      <c r="H22" s="4">
        <f ca="1">IFERROR('Rates Table'!H22*(SPU_Block_1),0)/100</f>
        <v>0</v>
      </c>
      <c r="I22" s="4">
        <f ca="1">IFERROR('Rates Table'!I22*(SPU_Block_1),0)/100</f>
        <v>0</v>
      </c>
      <c r="J22" s="4">
        <f ca="1">IFERROR('Rates Table'!J22*(SPU_Block_1),0)/100</f>
        <v>0</v>
      </c>
      <c r="K22" s="4">
        <f ca="1">IFERROR('Rates Table'!K22*(SPU_Block_1),0)/100</f>
        <v>0</v>
      </c>
      <c r="L22" s="4">
        <f ca="1">IFERROR('Rates Table'!L22*(SPU_Block_1),0)/100</f>
        <v>0</v>
      </c>
      <c r="M22" s="4">
        <f ca="1">IFERROR('Rates Table'!M22*(SPU_Block_1),0)/100</f>
        <v>0</v>
      </c>
      <c r="N22" s="4">
        <f ca="1">IFERROR('Rates Table'!N22*(SPU_Block_1),0)/100</f>
        <v>0</v>
      </c>
      <c r="O22" s="4">
        <f ca="1">IFERROR('Rates Table'!O22*(SPU_Block_1),0)/100</f>
        <v>0</v>
      </c>
      <c r="P22" s="4">
        <f ca="1">IFERROR('Rates Table'!P22*(SPU_Block_1),0)/100</f>
        <v>0</v>
      </c>
      <c r="Q22" s="4">
        <f ca="1">IFERROR('Rates Table'!Q22*(SPU_Block_1),0)/100</f>
        <v>0</v>
      </c>
      <c r="R22" s="4">
        <f ca="1">IFERROR('Rates Table'!R22*(SPU_Block_1),0)/100</f>
        <v>0</v>
      </c>
      <c r="S22" s="4">
        <f ca="1">IFERROR('Rates Table'!S22*(SPU_Block_1),0)/100</f>
        <v>0</v>
      </c>
      <c r="T22" s="4">
        <f ca="1">IFERROR('Rates Table'!T22*(SPU_Block_1),0)/100</f>
        <v>0</v>
      </c>
      <c r="U22" s="4">
        <f ca="1">IFERROR('Rates Table'!U22*(SPU_Block_1),0)/100</f>
        <v>0</v>
      </c>
      <c r="V22" s="4">
        <f ca="1">IFERROR('Rates Table'!V22*(SPU_Block_1),0)/100</f>
        <v>0</v>
      </c>
      <c r="W22" s="4">
        <f ca="1">IFERROR('Rates Table'!W22*(SPU_Block_1),0)/100</f>
        <v>0</v>
      </c>
      <c r="X22" s="4">
        <f ca="1">IFERROR('Rates Table'!X22*(SPU_Block_1),0)/100</f>
        <v>0</v>
      </c>
      <c r="Y22" s="4">
        <f ca="1">IFERROR('Rates Table'!Y22*(SPU_Block_1),0)/100</f>
        <v>0</v>
      </c>
      <c r="Z22" s="4">
        <f ca="1">IFERROR('Rates Table'!Z22*(SPU_Block_1),0)/100</f>
        <v>0</v>
      </c>
      <c r="AA22" s="4"/>
      <c r="AB22" s="4">
        <f ca="1">IFERROR('Rates Table'!AB22*(SPU_Block_1),0)/100</f>
        <v>0</v>
      </c>
      <c r="AC22" s="4">
        <f ca="1">IFERROR('Rates Table'!AC22*(SPU_Block_1),0)/100</f>
        <v>0</v>
      </c>
      <c r="AD22" s="4">
        <f ca="1">IFERROR('Rates Table'!AD22*(SPU_Block_1),0)/100</f>
        <v>0</v>
      </c>
      <c r="AE22" s="4">
        <f ca="1">IFERROR('Rates Table'!AF22*(SPU_Block_1),0)/100</f>
        <v>0</v>
      </c>
      <c r="AF22" s="4">
        <f ca="1">IFERROR('Rates Table'!AF22*(SPU_Block_1),0)/100</f>
        <v>0</v>
      </c>
      <c r="AG22" s="4">
        <f ca="1">IFERROR('Rates Table'!AG22*(SPU_Block_1),0)/100</f>
        <v>0</v>
      </c>
      <c r="AH22" s="4">
        <f ca="1">IFERROR('Rates Table'!AH22*(SPU_Block_1),0)/100</f>
        <v>0</v>
      </c>
      <c r="AI22" s="4">
        <f ca="1">IFERROR('Rates Table'!AI22*(SPU_Block_1),0)/100</f>
        <v>0</v>
      </c>
      <c r="AK22" s="43">
        <f t="shared" ca="1" si="30"/>
        <v>0</v>
      </c>
      <c r="AL22" s="4">
        <f ca="1">IFERROR('Rates Table'!AL22*(SPU_Block_1),0)/100</f>
        <v>0</v>
      </c>
      <c r="AM22" s="4">
        <f ca="1">IFERROR('Rates Table'!AM22*(SPU_Block_1),0)/100</f>
        <v>0</v>
      </c>
      <c r="AN22" s="4">
        <f ca="1">IFERROR('Rates Table'!AN22*(SPU_Block_1),0)/100</f>
        <v>0</v>
      </c>
      <c r="AO22" s="4">
        <f ca="1">IFERROR('Rates Table'!AO22*(SPU_Block_1),0)/100</f>
        <v>0</v>
      </c>
      <c r="AP22" s="4">
        <f ca="1">IFERROR('Rates Table'!AP22*(SPU_Block_1),0)/100</f>
        <v>0</v>
      </c>
      <c r="AQ22" s="4">
        <f ca="1">IFERROR('Rates Table'!AQ22*(SPU_Block_1),0)/100</f>
        <v>0</v>
      </c>
      <c r="AR22" s="4">
        <f ca="1">IFERROR('Rates Table'!AR22*(SPU_Block_1),0)/100</f>
        <v>0</v>
      </c>
      <c r="AS22" s="4">
        <f ca="1">IFERROR('Rates Table'!AS22*(SPU_Block_1),0)/100</f>
        <v>0</v>
      </c>
      <c r="AT22" s="4">
        <f ca="1">IFERROR('Rates Table'!AT22*(SPU_Block_1),0)/100</f>
        <v>0</v>
      </c>
      <c r="AU22" s="4">
        <f ca="1">IFERROR('Rates Table'!AU22*(SPU_Block_1),0)/100</f>
        <v>0</v>
      </c>
      <c r="AV22" s="4">
        <f ca="1">IFERROR('Rates Table'!AV22*(SPU_Block_1),0)/100</f>
        <v>0</v>
      </c>
      <c r="AW22" s="4">
        <f ca="1">IFERROR('Rates Table'!AW22*(SPU_Block_1),0)/100</f>
        <v>0</v>
      </c>
      <c r="AX22" s="4">
        <f ca="1">IFERROR('Rates Table'!AX22*(SPU_Block_1),0)/100</f>
        <v>0</v>
      </c>
      <c r="AY22" s="4">
        <f ca="1">IFERROR('Rates Table'!AY22*(SPU_Block_1),0)/100</f>
        <v>0</v>
      </c>
      <c r="AZ22" s="4">
        <f ca="1">IFERROR('Rates Table'!AZ22*(SPU_Block_1),0)/100</f>
        <v>0</v>
      </c>
      <c r="BA22" s="4">
        <f ca="1">IFERROR('Rates Table'!BA22*(SPU_Block_1),0)/100</f>
        <v>0</v>
      </c>
      <c r="BB22" s="4">
        <f ca="1">IFERROR('Rates Table'!BB22*(SPU_Block_1),0)/100</f>
        <v>0</v>
      </c>
      <c r="BC22" s="4">
        <f ca="1">IFERROR('Rates Table'!BC22*(SPU_Block_1),0)/100</f>
        <v>0</v>
      </c>
      <c r="BD22" s="4">
        <f ca="1">IFERROR('Rates Table'!BD22*(SPU_Block_1),0)/100</f>
        <v>0</v>
      </c>
      <c r="BE22" s="4">
        <f ca="1">IFERROR('Rates Table'!BE22*(SPU_Block_1),0)/100</f>
        <v>0</v>
      </c>
      <c r="BF22" s="4">
        <f ca="1">IFERROR('Rates Table'!BF22*(SPU_Block_1),0)/100</f>
        <v>0</v>
      </c>
      <c r="BG22" s="4">
        <f ca="1">IFERROR('Rates Table'!BG22*(SPU_Block_1),0)/100</f>
        <v>0</v>
      </c>
      <c r="BH22" s="4">
        <f ca="1">IFERROR('Rates Table'!BH22*(SPU_Block_1),0)/100</f>
        <v>0</v>
      </c>
      <c r="BI22" s="4">
        <f ca="1">IFERROR('Rates Table'!BI22*(SPU_Block_1),0)/100</f>
        <v>0</v>
      </c>
      <c r="BJ22" s="4">
        <f ca="1">IFERROR('Rates Table'!BJ22*(SPU_Block_1),0)/100</f>
        <v>0</v>
      </c>
      <c r="BK22" s="4">
        <f ca="1">IFERROR('Rates Table'!BK22*(SPU_Block_1),0)/100</f>
        <v>0</v>
      </c>
      <c r="BL22" s="4">
        <f ca="1">IFERROR('Rates Table'!BL22*(SPU_Block_1),0)/100</f>
        <v>0</v>
      </c>
      <c r="BM22" s="4">
        <f ca="1">IFERROR('Rates Table'!BM22*(SPU_Block_1),0)/100</f>
        <v>0</v>
      </c>
      <c r="BN22" s="4">
        <f ca="1">IFERROR('Rates Table'!BN22*(SPU_Block_1),0)/100</f>
        <v>0</v>
      </c>
      <c r="BO22" s="4">
        <f ca="1">IFERROR('Rates Table'!BO22*(SPU_Block_1),0)/100</f>
        <v>0</v>
      </c>
    </row>
    <row r="23" spans="2:67">
      <c r="C23" t="s">
        <v>127</v>
      </c>
      <c r="D23" s="21" t="s">
        <v>80</v>
      </c>
      <c r="E23" s="43">
        <f t="shared" ca="1" si="29"/>
        <v>0</v>
      </c>
      <c r="F23" s="4">
        <f ca="1">IFERROR('Rates Table'!F23*(SPU_Block_2),0)/100</f>
        <v>0</v>
      </c>
      <c r="G23" s="4">
        <f ca="1">IFERROR('Rates Table'!G23*(SPU_Block_2),0)/100</f>
        <v>0</v>
      </c>
      <c r="H23" s="4">
        <f ca="1">IFERROR('Rates Table'!H23*(SPU_Block_2),0)/100</f>
        <v>0</v>
      </c>
      <c r="I23" s="4">
        <f ca="1">IFERROR('Rates Table'!I23*(SPU_Block_2),0)/100</f>
        <v>0</v>
      </c>
      <c r="J23" s="4">
        <f ca="1">IFERROR('Rates Table'!J23*(SPU_Block_2),0)/100</f>
        <v>0</v>
      </c>
      <c r="K23" s="4">
        <f ca="1">IFERROR('Rates Table'!K23*(SPU_Block_2),0)/100</f>
        <v>0</v>
      </c>
      <c r="L23" s="4">
        <f ca="1">IFERROR('Rates Table'!L23*(SPU_Block_2),0)/100</f>
        <v>0</v>
      </c>
      <c r="M23" s="4">
        <f ca="1">IFERROR('Rates Table'!M23*(SPU_Block_2),0)/100</f>
        <v>0</v>
      </c>
      <c r="N23" s="4">
        <f ca="1">IFERROR('Rates Table'!N23*(SPU_Block_2),0)/100</f>
        <v>0</v>
      </c>
      <c r="O23" s="4">
        <f ca="1">IFERROR('Rates Table'!O23*(SPU_Block_2),0)/100</f>
        <v>0</v>
      </c>
      <c r="P23" s="4">
        <f ca="1">IFERROR('Rates Table'!P23*(SPU_Block_2),0)/100</f>
        <v>0</v>
      </c>
      <c r="Q23" s="4">
        <f ca="1">IFERROR('Rates Table'!Q23*(SPU_Block_2),0)/100</f>
        <v>0</v>
      </c>
      <c r="R23" s="4">
        <f ca="1">IFERROR('Rates Table'!R23*(SPU_Block_2),0)/100</f>
        <v>0</v>
      </c>
      <c r="S23" s="4">
        <f ca="1">IFERROR('Rates Table'!S23*(SPU_Block_2),0)/100</f>
        <v>0</v>
      </c>
      <c r="T23" s="4">
        <f ca="1">IFERROR('Rates Table'!T23*(SPU_Block_2),0)/100</f>
        <v>0</v>
      </c>
      <c r="U23" s="4">
        <f ca="1">IFERROR('Rates Table'!U23*(SPU_Block_2),0)/100</f>
        <v>0</v>
      </c>
      <c r="V23" s="4">
        <f ca="1">IFERROR('Rates Table'!V23*(SPU_Block_2),0)/100</f>
        <v>0</v>
      </c>
      <c r="W23" s="4">
        <f ca="1">IFERROR('Rates Table'!W23*(SPU_Block_2),0)/100</f>
        <v>0</v>
      </c>
      <c r="X23" s="4">
        <f ca="1">IFERROR('Rates Table'!X23*(SPU_Block_2),0)/100</f>
        <v>0</v>
      </c>
      <c r="Y23" s="4">
        <f ca="1">IFERROR('Rates Table'!Y23*(SPU_Block_2),0)/100</f>
        <v>0</v>
      </c>
      <c r="Z23" s="4">
        <f ca="1">IFERROR('Rates Table'!Z23*(SPU_Block_2),0)/100</f>
        <v>0</v>
      </c>
      <c r="AA23" s="4"/>
      <c r="AB23" s="4">
        <f ca="1">IFERROR('Rates Table'!AB23*(SPU_Block_2),0)/100</f>
        <v>0</v>
      </c>
      <c r="AC23" s="4">
        <f ca="1">IFERROR('Rates Table'!AC23*(SPU_Block_2),0)/100</f>
        <v>0</v>
      </c>
      <c r="AD23" s="4">
        <f ca="1">IFERROR('Rates Table'!AD23*(SPU_Block_2),0)/100</f>
        <v>0</v>
      </c>
      <c r="AE23" s="4">
        <f ca="1">IFERROR('Rates Table'!AF23*(SPU_Block_2),0)/100</f>
        <v>0</v>
      </c>
      <c r="AF23" s="4">
        <f ca="1">IFERROR('Rates Table'!AF23*(SPU_Block_2),0)/100</f>
        <v>0</v>
      </c>
      <c r="AG23" s="4">
        <f ca="1">IFERROR('Rates Table'!AG23*(SPU_Block_2),0)/100</f>
        <v>0</v>
      </c>
      <c r="AH23" s="4">
        <f ca="1">IFERROR('Rates Table'!AH23*(SPU_Block_2),0)/100</f>
        <v>0</v>
      </c>
      <c r="AI23" s="4">
        <f ca="1">IFERROR('Rates Table'!AI23*(SPU_Block_2),0)/100</f>
        <v>0</v>
      </c>
      <c r="AK23" s="43">
        <f t="shared" ca="1" si="30"/>
        <v>0</v>
      </c>
      <c r="AL23" s="4">
        <f ca="1">IFERROR('Rates Table'!AL23*(SPU_Block_2),0)/100</f>
        <v>0</v>
      </c>
      <c r="AM23" s="4">
        <f ca="1">IFERROR('Rates Table'!AM23*(SPU_Block_2),0)/100</f>
        <v>0</v>
      </c>
      <c r="AN23" s="4">
        <f ca="1">IFERROR('Rates Table'!AN23*(SPU_Block_2),0)/100</f>
        <v>0</v>
      </c>
      <c r="AO23" s="4">
        <f ca="1">IFERROR('Rates Table'!AO23*(SPU_Block_2),0)/100</f>
        <v>0</v>
      </c>
      <c r="AP23" s="4">
        <f ca="1">IFERROR('Rates Table'!AP23*(SPU_Block_2),0)/100</f>
        <v>0</v>
      </c>
      <c r="AQ23" s="4">
        <f ca="1">IFERROR('Rates Table'!AQ23*(SPU_Block_2),0)/100</f>
        <v>0</v>
      </c>
      <c r="AR23" s="4">
        <f ca="1">IFERROR('Rates Table'!AR23*(SPU_Block_2),0)/100</f>
        <v>0</v>
      </c>
      <c r="AS23" s="4">
        <f ca="1">IFERROR('Rates Table'!AS23*(SPU_Block_2),0)/100</f>
        <v>0</v>
      </c>
      <c r="AT23" s="4">
        <f ca="1">IFERROR('Rates Table'!AT23*(SPU_Block_2),0)/100</f>
        <v>0</v>
      </c>
      <c r="AU23" s="4">
        <f ca="1">IFERROR('Rates Table'!AU23*(SPU_Block_2),0)/100</f>
        <v>0</v>
      </c>
      <c r="AV23" s="4">
        <f ca="1">IFERROR('Rates Table'!AV23*(SPU_Block_2),0)/100</f>
        <v>0</v>
      </c>
      <c r="AW23" s="4">
        <f ca="1">IFERROR('Rates Table'!AW23*(SPU_Block_2),0)/100</f>
        <v>0</v>
      </c>
      <c r="AX23" s="4">
        <f ca="1">IFERROR('Rates Table'!AX23*(SPU_Block_2),0)/100</f>
        <v>0</v>
      </c>
      <c r="AY23" s="4">
        <f ca="1">IFERROR('Rates Table'!AY23*(SPU_Block_2),0)/100</f>
        <v>0</v>
      </c>
      <c r="AZ23" s="4">
        <f ca="1">IFERROR('Rates Table'!AZ23*(SPU_Block_2),0)/100</f>
        <v>0</v>
      </c>
      <c r="BA23" s="4">
        <f ca="1">IFERROR('Rates Table'!BA23*(SPU_Block_2),0)/100</f>
        <v>0</v>
      </c>
      <c r="BB23" s="4">
        <f ca="1">IFERROR('Rates Table'!BB23*(SPU_Block_2),0)/100</f>
        <v>0</v>
      </c>
      <c r="BC23" s="4">
        <f ca="1">IFERROR('Rates Table'!BC23*(SPU_Block_2),0)/100</f>
        <v>0</v>
      </c>
      <c r="BD23" s="4">
        <f ca="1">IFERROR('Rates Table'!BD23*(SPU_Block_2),0)/100</f>
        <v>0</v>
      </c>
      <c r="BE23" s="4">
        <f ca="1">IFERROR('Rates Table'!BE23*(SPU_Block_2),0)/100</f>
        <v>0</v>
      </c>
      <c r="BF23" s="4">
        <f ca="1">IFERROR('Rates Table'!BF23*(SPU_Block_2),0)/100</f>
        <v>0</v>
      </c>
      <c r="BG23" s="4">
        <f ca="1">IFERROR('Rates Table'!BG23*(SPU_Block_2),0)/100</f>
        <v>0</v>
      </c>
      <c r="BH23" s="4">
        <f ca="1">IFERROR('Rates Table'!BH23*(SPU_Block_2),0)/100</f>
        <v>0</v>
      </c>
      <c r="BI23" s="4">
        <f ca="1">IFERROR('Rates Table'!BI23*(SPU_Block_2),0)/100</f>
        <v>0</v>
      </c>
      <c r="BJ23" s="4">
        <f ca="1">IFERROR('Rates Table'!BJ23*(SPU_Block_2),0)/100</f>
        <v>0</v>
      </c>
      <c r="BK23" s="4">
        <f ca="1">IFERROR('Rates Table'!BK23*(SPU_Block_2),0)/100</f>
        <v>0</v>
      </c>
      <c r="BL23" s="4">
        <f ca="1">IFERROR('Rates Table'!BL23*(SPU_Block_2),0)/100</f>
        <v>0</v>
      </c>
      <c r="BM23" s="4">
        <f ca="1">IFERROR('Rates Table'!BM23*(SPU_Block_2),0)/100</f>
        <v>0</v>
      </c>
      <c r="BN23" s="4">
        <f ca="1">IFERROR('Rates Table'!BN23*(SPU_Block_2),0)/100</f>
        <v>0</v>
      </c>
      <c r="BO23" s="4">
        <f ca="1">IFERROR('Rates Table'!BO23*(SPU_Block_2),0)/100</f>
        <v>0</v>
      </c>
    </row>
    <row r="24" spans="2:67">
      <c r="C24" s="153" t="s">
        <v>373</v>
      </c>
      <c r="D24" s="154" t="s">
        <v>379</v>
      </c>
      <c r="E24" s="43">
        <f t="shared" ca="1" si="29"/>
        <v>60.225000000000001</v>
      </c>
      <c r="F24" s="4">
        <f ca="1">IFERROR('Rates Table'!F24*IF($E$2="Homepower Bulk",Inputs!$H$27,PODs*ESKOM_Total_days),0)</f>
        <v>60.225000000000001</v>
      </c>
      <c r="G24" s="4">
        <f ca="1">IFERROR('Rates Table'!G24*IF($E$2="Homepower Bulk",Inputs!$H$27,PODs*ESKOM_Total_days),0)</f>
        <v>89.729166666666671</v>
      </c>
      <c r="H24" s="4">
        <f ca="1">IFERROR('Rates Table'!H24*IF($E$2="Homepower Bulk",Inputs!$H$27,PODs*ESKOM_Total_days),0)</f>
        <v>224.17083333333335</v>
      </c>
      <c r="I24" s="4">
        <f ca="1">IFERROR('Rates Table'!I24*IF($E$2="Homepower Bulk",Inputs!$H$27,PODs*ESKOM_Total_days),0)</f>
        <v>0</v>
      </c>
      <c r="J24" s="4">
        <f ca="1">IFERROR('Rates Table'!J24*IF($E$2="Homepower Bulk",Inputs!$H$27,PODs*ESKOM_Total_days),0)</f>
        <v>0</v>
      </c>
      <c r="K24" s="4">
        <f ca="1">IFERROR('Rates Table'!K24*IF($E$2="Homepower Bulk",Inputs!$H$27,PODs*ESKOM_Total_days),0)</f>
        <v>0</v>
      </c>
      <c r="L24" s="4">
        <f ca="1">IFERROR('Rates Table'!L24*IF($E$2="Homepower Bulk",Inputs!$H$27,PODs*ESKOM_Total_days),0)</f>
        <v>21.9</v>
      </c>
      <c r="M24" s="4">
        <f ca="1">IFERROR('Rates Table'!M24*IF($E$2="Homepower Bulk",Inputs!$H$27,PODs*ESKOM_Total_days),0)</f>
        <v>38.62916666666667</v>
      </c>
      <c r="N24" s="4">
        <f ca="1">IFERROR('Rates Table'!N24*IF($E$2="Homepower Bulk",Inputs!$H$27,PODs*ESKOM_Total_days),0)</f>
        <v>94.291666666666671</v>
      </c>
      <c r="O24" s="4">
        <f ca="1">IFERROR('Rates Table'!O24*IF($E$2="Homepower Bulk",Inputs!$H$27,PODs*ESKOM_Total_days),0)</f>
        <v>14.295833333333333</v>
      </c>
      <c r="P24" s="4">
        <f ca="1">IFERROR('Rates Table'!P24*IF($E$2="Homepower Bulk",Inputs!$H$27,PODs*ESKOM_Total_days),0)</f>
        <v>145.39166666666668</v>
      </c>
      <c r="Q24" s="4">
        <f ca="1">IFERROR('Rates Table'!Q24*IF($E$2="Homepower Bulk",Inputs!$H$27,PODs*ESKOM_Total_days),0)</f>
        <v>82.429166666666674</v>
      </c>
      <c r="R24" s="4">
        <f ca="1">IFERROR('Rates Table'!R24*IF($E$2="Homepower Bulk",Inputs!$H$27,PODs*ESKOM_Total_days),0)</f>
        <v>163.33750000000001</v>
      </c>
      <c r="S24" s="4">
        <f ca="1">IFERROR('Rates Table'!S24*IF($E$2="Homepower Bulk",Inputs!$H$27,PODs*ESKOM_Total_days),0)</f>
        <v>319.375</v>
      </c>
      <c r="T24" s="4">
        <f ca="1">IFERROR('Rates Table'!T24*IF($E$2="Homepower Bulk",Inputs!$H$27,PODs*ESKOM_Total_days),0)</f>
        <v>54.141666666666673</v>
      </c>
      <c r="U24" s="4">
        <f ca="1">IFERROR('Rates Table'!U24*IF($E$2="Homepower Bulk",Inputs!$H$27,PODs*ESKOM_Total_days),0)</f>
        <v>0</v>
      </c>
      <c r="V24" s="4">
        <f ca="1">IFERROR('Rates Table'!V24*IF($E$2="Homepower Bulk",Inputs!$H$27,PODs*ESKOM_Total_days),0)</f>
        <v>0</v>
      </c>
      <c r="W24" s="4">
        <f ca="1">IFERROR('Rates Table'!W24*IF($E$2="Homepower Bulk",Inputs!$H$27,PODs*ESKOM_Total_days),0)</f>
        <v>0</v>
      </c>
      <c r="X24" s="4">
        <f ca="1">IFERROR('Rates Table'!X24*IF($E$2="Homepower Bulk",Inputs!$H$27,PODs*ESKOM_Total_days),0)</f>
        <v>0</v>
      </c>
      <c r="Y24" s="4">
        <f ca="1">IFERROR('Rates Table'!Y24*IF($E$2="Homepower Bulk",Inputs!$H$27,PODs*ESKOM_Total_days),0)</f>
        <v>0</v>
      </c>
      <c r="Z24" s="4">
        <f ca="1">IFERROR('Rates Table'!Z24*IF($E$2="Homepower Bulk",Inputs!$H$27,PODs*ESKOM_Total_days),0)</f>
        <v>0</v>
      </c>
      <c r="AA24" s="4">
        <f ca="1">IFERROR('Rates Table'!AA24*IF($E$2="Homepower Bulk",Inputs!$H$27,PODs*ESKOM_Total_days),0)</f>
        <v>0</v>
      </c>
      <c r="AB24" s="4">
        <f ca="1">IFERROR('Rates Table'!AB24*IF($E$2="Homepower Bulk",Inputs!$H$27,PODs*ESKOM_Total_days),0)</f>
        <v>0</v>
      </c>
      <c r="AC24" s="4">
        <f ca="1">IFERROR('Rates Table'!AC24*IF($E$2="Homepower Bulk",Inputs!$H$27,PODs*ESKOM_Total_days),0)</f>
        <v>0</v>
      </c>
      <c r="AD24" s="4">
        <f ca="1">IFERROR('Rates Table'!AD24*IF($E$2="Homepower Bulk",Inputs!$H$27,PODs*ESKOM_Total_days),0)</f>
        <v>0</v>
      </c>
      <c r="AE24" s="4">
        <f ca="1">IFERROR('Rates Table'!AE24*IF($E$2="Homepower Bulk",Inputs!$H$27,PODs*ESKOM_Total_days),0)</f>
        <v>0</v>
      </c>
      <c r="AF24" s="4">
        <f ca="1">IFERROR('Rates Table'!AF24*IF($E$2="Homepower Bulk",Inputs!$H$27,PODs*ESKOM_Total_days),0)</f>
        <v>21.9</v>
      </c>
      <c r="AG24" s="4">
        <f ca="1">IFERROR('Rates Table'!AG24*IF($E$2="Homepower Bulk",Inputs!$H$27,PODs*ESKOM_Total_days),0)</f>
        <v>38.62916666666667</v>
      </c>
      <c r="AH24" s="4">
        <f ca="1">IFERROR('Rates Table'!AH24*IF($E$2="Homepower Bulk",Inputs!$H$27,PODs*ESKOM_Total_days),0)</f>
        <v>94.291666666666671</v>
      </c>
      <c r="AI24" s="4">
        <f ca="1">IFERROR('Rates Table'!AI24*IF($E$2="Homepower Bulk",Inputs!$H$27,PODs*ESKOM_Total_days),0)</f>
        <v>14.295833333333333</v>
      </c>
      <c r="AK24" s="43">
        <f t="shared" ca="1" si="30"/>
        <v>91.25</v>
      </c>
      <c r="AL24" s="4">
        <f ca="1">IFERROR('Rates Table'!AL24*PODs*IF($E$2="Homepower Bulk",Inputs!$H$27,PODs*ESKOM_Total_days),0)</f>
        <v>91.25</v>
      </c>
      <c r="AM24" s="4">
        <f ca="1">IFERROR('Rates Table'!AM24*PODs*IF($E$2="Homepower Bulk",Inputs!$H$27,PODs*ESKOM_Total_days),0)</f>
        <v>136.26666666666668</v>
      </c>
      <c r="AN24" s="4">
        <f ca="1">IFERROR('Rates Table'!AN24*PODs*IF($E$2="Homepower Bulk",Inputs!$H$27,PODs*ESKOM_Total_days),0)</f>
        <v>340.05833333333334</v>
      </c>
      <c r="AO24" s="4">
        <f ca="1">IFERROR('Rates Table'!AO24*PODs*IF($E$2="Homepower Bulk",Inputs!$H$27,PODs*ESKOM_Total_days),0)</f>
        <v>0</v>
      </c>
      <c r="AP24" s="4">
        <f ca="1">IFERROR('Rates Table'!AP24*PODs*IF($E$2="Homepower Bulk",Inputs!$H$27,PODs*ESKOM_Total_days),0)</f>
        <v>0</v>
      </c>
      <c r="AQ24" s="4">
        <f ca="1">IFERROR('Rates Table'!AQ24*PODs*IF($E$2="Homepower Bulk",Inputs!$H$27,PODs*ESKOM_Total_days),0)</f>
        <v>0</v>
      </c>
      <c r="AR24" s="4">
        <f ca="1">IFERROR('Rates Table'!AR24*PODs*IF($E$2="Homepower Bulk",Inputs!$H$27,PODs*ESKOM_Total_days),0)</f>
        <v>33.154166666666669</v>
      </c>
      <c r="AS24" s="4">
        <f ca="1">IFERROR('Rates Table'!AS24*PODs*IF($E$2="Homepower Bulk",Inputs!$H$27,PODs*ESKOM_Total_days),0)</f>
        <v>58.704166666666666</v>
      </c>
      <c r="AT24" s="4">
        <f ca="1">IFERROR('Rates Table'!AT24*PODs*IF($E$2="Homepower Bulk",Inputs!$H$27,PODs*ESKOM_Total_days),0)</f>
        <v>142.95833333333334</v>
      </c>
      <c r="AU24" s="4">
        <f ca="1">IFERROR('Rates Table'!AU24*PODs*IF($E$2="Homepower Bulk",Inputs!$H$27,PODs*ESKOM_Total_days),0)</f>
        <v>21.595833333333331</v>
      </c>
      <c r="AV24" s="4">
        <f ca="1">IFERROR('Rates Table'!AV24*PODs*IF($E$2="Homepower Bulk",Inputs!$H$27,PODs*ESKOM_Total_days),0)</f>
        <v>220.52083333333334</v>
      </c>
      <c r="AW24" s="4">
        <f ca="1">IFERROR('Rates Table'!AW24*PODs*IF($E$2="Homepower Bulk",Inputs!$H$27,PODs*ESKOM_Total_days),0)</f>
        <v>125.01250000000002</v>
      </c>
      <c r="AX24" s="4">
        <f ca="1">IFERROR('Rates Table'!AX24*PODs*IF($E$2="Homepower Bulk",Inputs!$H$27,PODs*ESKOM_Total_days),0)</f>
        <v>247.89583333333334</v>
      </c>
      <c r="AY24" s="4">
        <f ca="1">IFERROR('Rates Table'!AY24*PODs*IF($E$2="Homepower Bulk",Inputs!$H$27,PODs*ESKOM_Total_days),0)</f>
        <v>484.53750000000002</v>
      </c>
      <c r="AZ24" s="4">
        <f ca="1">IFERROR('Rates Table'!AZ24*PODs*IF($E$2="Homepower Bulk",Inputs!$H$27,PODs*ESKOM_Total_days),0)</f>
        <v>82.125000000000014</v>
      </c>
      <c r="BA24" s="4">
        <f ca="1">IFERROR('Rates Table'!BA24*PODs*IF($E$2="Homepower Bulk",Inputs!$H$27,PODs*ESKOM_Total_days),0)</f>
        <v>0</v>
      </c>
      <c r="BB24" s="4">
        <f ca="1">IFERROR('Rates Table'!BB24*PODs*IF($E$2="Homepower Bulk",Inputs!$H$27,PODs*ESKOM_Total_days),0)</f>
        <v>0</v>
      </c>
      <c r="BC24" s="4">
        <f ca="1">IFERROR('Rates Table'!BC24*PODs*IF($E$2="Homepower Bulk",Inputs!$H$27,PODs*ESKOM_Total_days),0)</f>
        <v>0</v>
      </c>
      <c r="BD24" s="4">
        <f ca="1">IFERROR('Rates Table'!BD24*PODs*IF($E$2="Homepower Bulk",Inputs!$H$27,PODs*ESKOM_Total_days),0)</f>
        <v>0</v>
      </c>
      <c r="BE24" s="4">
        <f ca="1">IFERROR('Rates Table'!BE24*PODs*IF($E$2="Homepower Bulk",Inputs!$H$27,PODs*ESKOM_Total_days),0)</f>
        <v>0</v>
      </c>
      <c r="BF24" s="4">
        <f ca="1">IFERROR('Rates Table'!BF24*PODs*IF($E$2="Homepower Bulk",Inputs!$H$27,PODs*ESKOM_Total_days),0)</f>
        <v>0</v>
      </c>
      <c r="BG24" s="4">
        <f ca="1">IFERROR('Rates Table'!BG24*PODs*IF($E$2="Homepower Bulk",Inputs!$H$27,PODs*ESKOM_Total_days),0)</f>
        <v>0</v>
      </c>
      <c r="BH24" s="4">
        <f ca="1">IFERROR('Rates Table'!BH24*PODs*IF($E$2="Homepower Bulk",Inputs!$H$27,PODs*ESKOM_Total_days),0)</f>
        <v>0</v>
      </c>
      <c r="BI24" s="4">
        <f ca="1">IFERROR('Rates Table'!BI24*PODs*IF($E$2="Homepower Bulk",Inputs!$H$27,PODs*ESKOM_Total_days),0)</f>
        <v>0</v>
      </c>
      <c r="BJ24" s="4">
        <f ca="1">IFERROR('Rates Table'!BJ24*PODs*IF($E$2="Homepower Bulk",Inputs!$H$27,PODs*ESKOM_Total_days),0)</f>
        <v>0</v>
      </c>
      <c r="BK24" s="4">
        <f ca="1">IFERROR('Rates Table'!BK24*PODs*IF($E$2="Homepower Bulk",Inputs!$H$27,PODs*ESKOM_Total_days),0)</f>
        <v>0</v>
      </c>
      <c r="BL24" s="4">
        <f ca="1">IFERROR('Rates Table'!BL24*PODs*IF($E$2="Homepower Bulk",Inputs!$H$27,PODs*ESKOM_Total_days),0)</f>
        <v>33.154166666666669</v>
      </c>
      <c r="BM24" s="4">
        <f ca="1">IFERROR('Rates Table'!BM24*PODs*IF($E$2="Homepower Bulk",Inputs!$H$27,PODs*ESKOM_Total_days),0)</f>
        <v>58.704166666666666</v>
      </c>
      <c r="BN24" s="4">
        <f ca="1">IFERROR('Rates Table'!BN24*PODs*IF($E$2="Homepower Bulk",Inputs!$H$27,PODs*ESKOM_Total_days),0)</f>
        <v>142.95833333333334</v>
      </c>
      <c r="BO24" s="4">
        <f ca="1">IFERROR('Rates Table'!BO24*PODs*IF($E$2="Homepower Bulk",Inputs!$H$27,PODs*ESKOM_Total_days),0)</f>
        <v>21.595833333333331</v>
      </c>
    </row>
    <row r="25" spans="2:67">
      <c r="C25" s="153" t="s">
        <v>374</v>
      </c>
      <c r="D25" s="154" t="s">
        <v>80</v>
      </c>
      <c r="E25" s="43">
        <f t="shared" ca="1" si="29"/>
        <v>0</v>
      </c>
      <c r="F25" s="4">
        <f>IFERROR('Rates Table'!F25*(SPU_Annual_Total_Energy),0)/100</f>
        <v>0</v>
      </c>
      <c r="G25" s="4">
        <f>IFERROR('Rates Table'!G25*(SPU_Annual_Total_Energy),0)/100</f>
        <v>0</v>
      </c>
      <c r="H25" s="4">
        <f>IFERROR('Rates Table'!H25*(SPU_Annual_Total_Energy),0)/100</f>
        <v>0</v>
      </c>
      <c r="I25" s="4">
        <f>IFERROR('Rates Table'!I25*(SPU_Annual_Total_Energy),0)/100</f>
        <v>0</v>
      </c>
      <c r="J25" s="4">
        <f>IFERROR('Rates Table'!J25*(SPU_Annual_Total_Energy),0)/100</f>
        <v>0</v>
      </c>
      <c r="K25" s="4">
        <f>IFERROR('Rates Table'!K25*(SPU_Annual_Total_Energy),0)/100</f>
        <v>0</v>
      </c>
      <c r="L25" s="4">
        <f>IFERROR('Rates Table'!L25*(SPU_Annual_Total_Energy),0)/100</f>
        <v>0</v>
      </c>
      <c r="M25" s="4">
        <f>IFERROR('Rates Table'!M25*(SPU_Annual_Total_Energy),0)/100</f>
        <v>0</v>
      </c>
      <c r="N25" s="4">
        <f>IFERROR('Rates Table'!N25*(SPU_Annual_Total_Energy),0)/100</f>
        <v>0</v>
      </c>
      <c r="O25" s="4">
        <f>IFERROR('Rates Table'!O25*(SPU_Annual_Total_Energy),0)/100</f>
        <v>0</v>
      </c>
      <c r="P25" s="4">
        <f>IFERROR('Rates Table'!P25*(SPU_Annual_Total_Energy),0)/100</f>
        <v>0</v>
      </c>
      <c r="Q25" s="4">
        <f>IFERROR('Rates Table'!Q25*(SPU_Annual_Total_Energy),0)/100</f>
        <v>0</v>
      </c>
      <c r="R25" s="4">
        <f>IFERROR('Rates Table'!R25*(SPU_Annual_Total_Energy),0)/100</f>
        <v>0</v>
      </c>
      <c r="S25" s="4">
        <f>IFERROR('Rates Table'!S25*(SPU_Annual_Total_Energy),0)/100</f>
        <v>0</v>
      </c>
      <c r="T25" s="4">
        <f>IFERROR('Rates Table'!T25*(SPU_Annual_Total_Energy),0)/100</f>
        <v>0</v>
      </c>
      <c r="U25" s="4">
        <f>IFERROR('Rates Table'!U25*(SPU_Annual_Total_Energy),0)/100</f>
        <v>0</v>
      </c>
      <c r="V25" s="4">
        <f>IFERROR('Rates Table'!V25*(SPU_Annual_Total_Energy),0)/100</f>
        <v>0</v>
      </c>
      <c r="W25" s="4">
        <f>IFERROR('Rates Table'!W25*(SPU_Annual_Total_Energy),0)/100</f>
        <v>0</v>
      </c>
      <c r="X25" s="4">
        <f>IFERROR('Rates Table'!X25*(SPU_Annual_Total_Energy),0)/100</f>
        <v>0</v>
      </c>
      <c r="Y25" s="4">
        <f>IFERROR('Rates Table'!Y25*(SPU_Annual_Total_Energy),0)/100</f>
        <v>0</v>
      </c>
      <c r="Z25" s="4">
        <f>IFERROR('Rates Table'!Z25*(SPU_Annual_Total_Energy),0)/100</f>
        <v>0</v>
      </c>
      <c r="AA25" s="4">
        <f>IFERROR('Rates Table'!AA25*(SPU_Annual_Total_Energy),0)/100</f>
        <v>0</v>
      </c>
      <c r="AB25" s="4">
        <f>IFERROR('Rates Table'!AB25*(SPU_Annual_Total_Energy),0)/100</f>
        <v>0</v>
      </c>
      <c r="AC25" s="4">
        <f>IFERROR('Rates Table'!AC25*(SPU_Annual_Total_Energy),0)/100</f>
        <v>0</v>
      </c>
      <c r="AD25" s="4">
        <f>IFERROR('Rates Table'!AD25*(SPU_Annual_Total_Energy),0)/100</f>
        <v>0</v>
      </c>
      <c r="AE25" s="4">
        <f>IFERROR('Rates Table'!AE25*(SPU_Annual_Total_Energy),0)/100</f>
        <v>0</v>
      </c>
      <c r="AF25" s="4">
        <f>IFERROR('Rates Table'!AF25*(Homeflex_Total_Energy),0)/100</f>
        <v>0</v>
      </c>
      <c r="AG25" s="4">
        <f>IFERROR('Rates Table'!AG25*(Homeflex_Total_Energy),0)/100</f>
        <v>0</v>
      </c>
      <c r="AH25" s="4">
        <f>IFERROR('Rates Table'!AH25*(Homeflex_Total_Energy),0)/100</f>
        <v>0</v>
      </c>
      <c r="AI25" s="4">
        <f>IFERROR('Rates Table'!AI25*(Homeflex_Total_Energy),0)/100</f>
        <v>0</v>
      </c>
      <c r="AK25" s="43">
        <f t="shared" ca="1" si="30"/>
        <v>0</v>
      </c>
      <c r="AL25">
        <f>IFERROR('Rates Table'!AL25*(SPU_Annual_Total_Energy),0)/100</f>
        <v>0</v>
      </c>
      <c r="AM25">
        <f>IFERROR('Rates Table'!AM25*(SPU_Annual_Total_Energy),0)/100</f>
        <v>0</v>
      </c>
      <c r="AN25">
        <f>IFERROR('Rates Table'!AN25*(SPU_Annual_Total_Energy),0)/100</f>
        <v>0</v>
      </c>
      <c r="AO25">
        <f>IFERROR('Rates Table'!AO25*(SPU_Annual_Total_Energy),0)/100</f>
        <v>0</v>
      </c>
      <c r="AP25">
        <f>IFERROR('Rates Table'!AP25*(SPU_Annual_Total_Energy),0)/100</f>
        <v>0</v>
      </c>
      <c r="AQ25">
        <f>IFERROR('Rates Table'!AQ25*(SPU_Annual_Total_Energy),0)/100</f>
        <v>0</v>
      </c>
      <c r="AR25">
        <f>IFERROR('Rates Table'!AR25*(SPU_Annual_Total_Energy),0)/100</f>
        <v>0</v>
      </c>
      <c r="AS25">
        <f>IFERROR('Rates Table'!AS25*(SPU_Annual_Total_Energy),0)/100</f>
        <v>0</v>
      </c>
      <c r="AT25">
        <f>IFERROR('Rates Table'!AT25*(SPU_Annual_Total_Energy),0)/100</f>
        <v>0</v>
      </c>
      <c r="AU25">
        <f>IFERROR('Rates Table'!AU25*(SPU_Annual_Total_Energy),0)/100</f>
        <v>0</v>
      </c>
      <c r="AV25">
        <f>IFERROR('Rates Table'!AV25*(SPU_Annual_Total_Energy),0)/100</f>
        <v>0</v>
      </c>
      <c r="AW25">
        <f>IFERROR('Rates Table'!AW25*(SPU_Annual_Total_Energy),0)/100</f>
        <v>0</v>
      </c>
      <c r="AX25">
        <f>IFERROR('Rates Table'!AX25*(SPU_Annual_Total_Energy),0)/100</f>
        <v>0</v>
      </c>
      <c r="AY25">
        <f>IFERROR('Rates Table'!AY25*(SPU_Annual_Total_Energy),0)/100</f>
        <v>0</v>
      </c>
      <c r="AZ25">
        <f>IFERROR('Rates Table'!AZ25*(SPU_Annual_Total_Energy),0)/100</f>
        <v>0</v>
      </c>
      <c r="BA25">
        <f>IFERROR('Rates Table'!BA25*(SPU_Annual_Total_Energy),0)/100</f>
        <v>0</v>
      </c>
      <c r="BB25">
        <f>IFERROR('Rates Table'!BB25*(SPU_Annual_Total_Energy),0)/100</f>
        <v>0</v>
      </c>
      <c r="BC25">
        <f>IFERROR('Rates Table'!BC25*(SPU_Annual_Total_Energy),0)/100</f>
        <v>0</v>
      </c>
      <c r="BD25">
        <f>IFERROR('Rates Table'!BD25*(SPU_Annual_Total_Energy),0)/100</f>
        <v>0</v>
      </c>
      <c r="BE25">
        <f>IFERROR('Rates Table'!BE25*(SPU_Annual_Total_Energy),0)/100</f>
        <v>0</v>
      </c>
      <c r="BF25">
        <f>IFERROR('Rates Table'!BF25*(SPU_Annual_Total_Energy),0)/100</f>
        <v>0</v>
      </c>
      <c r="BG25">
        <f>IFERROR('Rates Table'!BG25*(SPU_Annual_Total_Energy),0)/100</f>
        <v>0</v>
      </c>
      <c r="BH25">
        <f>IFERROR('Rates Table'!BH25*(SPU_Annual_Total_Energy),0)/100</f>
        <v>0</v>
      </c>
      <c r="BI25">
        <f>IFERROR('Rates Table'!BI25*(SPU_Annual_Total_Energy),0)/100</f>
        <v>0</v>
      </c>
      <c r="BJ25">
        <f>IFERROR('Rates Table'!BJ25*(SPU_Annual_Total_Energy),0)/100</f>
        <v>0</v>
      </c>
      <c r="BK25">
        <f>IFERROR('Rates Table'!BK25*(SPU_Annual_Total_Energy),0)/100</f>
        <v>0</v>
      </c>
      <c r="BL25" s="158">
        <f>IFERROR('Rates Table'!BL25*(Homeflex_Total_Energy),0)/100</f>
        <v>0</v>
      </c>
      <c r="BM25" s="158">
        <f>IFERROR('Rates Table'!BM25*(Homeflex_Total_Energy),0)/100</f>
        <v>0</v>
      </c>
      <c r="BN25" s="158">
        <f>IFERROR('Rates Table'!BN25*(Homeflex_Total_Energy),0)/100</f>
        <v>0</v>
      </c>
      <c r="BO25" s="158">
        <f>IFERROR('Rates Table'!BO25*(Homeflex_Total_Energy),0)/100</f>
        <v>0</v>
      </c>
    </row>
    <row r="26" spans="2:67" ht="15" customHeight="1"/>
    <row r="27" spans="2:67">
      <c r="B27" s="6" t="s">
        <v>83</v>
      </c>
      <c r="C27" s="6"/>
      <c r="D27" s="5"/>
      <c r="E27" s="5">
        <f ca="1">SUM(E18:E25)</f>
        <v>60.225000000000001</v>
      </c>
      <c r="F27" s="5">
        <f t="shared" ref="F27:AI27" ca="1" si="31">SUM(F18:F25)</f>
        <v>60.225000000000001</v>
      </c>
      <c r="G27" s="5">
        <f t="shared" ca="1" si="31"/>
        <v>89.729166666666671</v>
      </c>
      <c r="H27" s="5">
        <f t="shared" ca="1" si="31"/>
        <v>224.17083333333335</v>
      </c>
      <c r="I27" s="5">
        <f t="shared" ca="1" si="31"/>
        <v>0</v>
      </c>
      <c r="J27" s="5">
        <f t="shared" ca="1" si="31"/>
        <v>0</v>
      </c>
      <c r="K27" s="5">
        <f t="shared" ca="1" si="31"/>
        <v>0</v>
      </c>
      <c r="L27" s="5">
        <f t="shared" ca="1" si="31"/>
        <v>21.9</v>
      </c>
      <c r="M27" s="5">
        <f t="shared" ca="1" si="31"/>
        <v>38.62916666666667</v>
      </c>
      <c r="N27" s="5">
        <f t="shared" ca="1" si="31"/>
        <v>94.291666666666671</v>
      </c>
      <c r="O27" s="5">
        <f t="shared" ca="1" si="31"/>
        <v>14.295833333333333</v>
      </c>
      <c r="P27" s="5">
        <f t="shared" ca="1" si="31"/>
        <v>145.39166666666668</v>
      </c>
      <c r="Q27" s="5">
        <f t="shared" ca="1" si="31"/>
        <v>82.429166666666674</v>
      </c>
      <c r="R27" s="5">
        <f t="shared" ca="1" si="31"/>
        <v>163.33750000000001</v>
      </c>
      <c r="S27" s="5">
        <f t="shared" ca="1" si="31"/>
        <v>319.375</v>
      </c>
      <c r="T27" s="5">
        <f t="shared" ca="1" si="31"/>
        <v>54.141666666666673</v>
      </c>
      <c r="U27" s="5">
        <f t="shared" ca="1" si="31"/>
        <v>0</v>
      </c>
      <c r="V27" s="5">
        <f t="shared" ca="1" si="31"/>
        <v>0</v>
      </c>
      <c r="W27" s="5">
        <f t="shared" ca="1" si="31"/>
        <v>0</v>
      </c>
      <c r="X27" s="5">
        <f t="shared" ca="1" si="31"/>
        <v>0</v>
      </c>
      <c r="Y27" s="5">
        <f t="shared" ca="1" si="31"/>
        <v>0</v>
      </c>
      <c r="Z27" s="5">
        <f ca="1">SUM(Z18:Z25)</f>
        <v>0</v>
      </c>
      <c r="AA27" s="5"/>
      <c r="AB27" s="5">
        <f t="shared" ref="AB27:AE27" ca="1" si="32">SUM(AB18:AB25)</f>
        <v>0</v>
      </c>
      <c r="AC27" s="5">
        <f t="shared" ca="1" si="32"/>
        <v>0</v>
      </c>
      <c r="AD27" s="5">
        <f t="shared" ca="1" si="32"/>
        <v>0</v>
      </c>
      <c r="AE27" s="5">
        <f t="shared" ca="1" si="32"/>
        <v>0</v>
      </c>
      <c r="AF27" s="5">
        <f t="shared" ca="1" si="31"/>
        <v>21.9</v>
      </c>
      <c r="AG27" s="5">
        <f t="shared" ca="1" si="31"/>
        <v>38.62916666666667</v>
      </c>
      <c r="AH27" s="5">
        <f t="shared" ca="1" si="31"/>
        <v>94.291666666666671</v>
      </c>
      <c r="AI27" s="5">
        <f t="shared" ca="1" si="31"/>
        <v>14.295833333333333</v>
      </c>
      <c r="AK27" s="5">
        <f ca="1">SUM(AK18:AK25)</f>
        <v>91.25</v>
      </c>
      <c r="AL27" s="5">
        <f t="shared" ref="AL27:BO27" ca="1" si="33">SUM(AL18:AL25)</f>
        <v>91.25</v>
      </c>
      <c r="AM27" s="5">
        <f t="shared" ca="1" si="33"/>
        <v>136.26666666666668</v>
      </c>
      <c r="AN27" s="5">
        <f t="shared" ca="1" si="33"/>
        <v>340.05833333333334</v>
      </c>
      <c r="AO27" s="5">
        <f t="shared" ca="1" si="33"/>
        <v>0</v>
      </c>
      <c r="AP27" s="5">
        <f t="shared" ca="1" si="33"/>
        <v>0</v>
      </c>
      <c r="AQ27" s="5">
        <f t="shared" ca="1" si="33"/>
        <v>0</v>
      </c>
      <c r="AR27" s="5">
        <f t="shared" ca="1" si="33"/>
        <v>33.154166666666669</v>
      </c>
      <c r="AS27" s="5">
        <f t="shared" ca="1" si="33"/>
        <v>58.704166666666666</v>
      </c>
      <c r="AT27" s="5">
        <f t="shared" ca="1" si="33"/>
        <v>142.95833333333334</v>
      </c>
      <c r="AU27" s="5">
        <f t="shared" ca="1" si="33"/>
        <v>21.595833333333331</v>
      </c>
      <c r="AV27" s="5">
        <f t="shared" ca="1" si="33"/>
        <v>220.52083333333334</v>
      </c>
      <c r="AW27" s="5">
        <f t="shared" ca="1" si="33"/>
        <v>125.01250000000002</v>
      </c>
      <c r="AX27" s="5">
        <f t="shared" ca="1" si="33"/>
        <v>247.89583333333334</v>
      </c>
      <c r="AY27" s="5">
        <f t="shared" ca="1" si="33"/>
        <v>484.53750000000002</v>
      </c>
      <c r="AZ27" s="5">
        <f t="shared" ca="1" si="33"/>
        <v>82.125000000000014</v>
      </c>
      <c r="BA27" s="5">
        <f t="shared" ca="1" si="33"/>
        <v>0</v>
      </c>
      <c r="BB27" s="5">
        <f t="shared" ca="1" si="33"/>
        <v>0</v>
      </c>
      <c r="BC27" s="5">
        <f t="shared" ca="1" si="33"/>
        <v>0</v>
      </c>
      <c r="BD27" s="5">
        <f t="shared" ca="1" si="33"/>
        <v>0</v>
      </c>
      <c r="BE27" s="5">
        <f t="shared" ca="1" si="33"/>
        <v>0</v>
      </c>
      <c r="BF27" s="5">
        <f ca="1">SUM(BF18:BF25)</f>
        <v>0</v>
      </c>
      <c r="BG27" s="5">
        <f t="shared" ref="BG27:BJ27" ca="1" si="34">SUM(BG18:BG25)</f>
        <v>0</v>
      </c>
      <c r="BH27" s="5">
        <f t="shared" ca="1" si="34"/>
        <v>0</v>
      </c>
      <c r="BI27" s="5">
        <f t="shared" ca="1" si="34"/>
        <v>0</v>
      </c>
      <c r="BJ27" s="5">
        <f t="shared" ca="1" si="34"/>
        <v>0</v>
      </c>
      <c r="BK27" s="5">
        <f t="shared" ref="BK27" ca="1" si="35">SUM(BK18:BK25)</f>
        <v>0</v>
      </c>
      <c r="BL27" s="5">
        <f t="shared" ca="1" si="33"/>
        <v>33.154166666666669</v>
      </c>
      <c r="BM27" s="5">
        <f t="shared" ca="1" si="33"/>
        <v>58.704166666666666</v>
      </c>
      <c r="BN27" s="5">
        <f t="shared" ca="1" si="33"/>
        <v>142.95833333333334</v>
      </c>
      <c r="BO27" s="5">
        <f t="shared" ca="1" si="33"/>
        <v>21.595833333333331</v>
      </c>
    </row>
    <row r="29" spans="2:67" ht="22.8">
      <c r="B29" s="17" t="s">
        <v>93</v>
      </c>
      <c r="C29" s="17"/>
      <c r="D29" s="16" t="s">
        <v>81</v>
      </c>
      <c r="E29" s="16" t="str">
        <f>E$8</f>
        <v>2025/26 Rates</v>
      </c>
      <c r="F29" s="16" t="str">
        <f t="shared" ref="F29:AI29" si="36">F$8</f>
        <v>2025/26 Rates</v>
      </c>
      <c r="G29" s="16" t="str">
        <f t="shared" si="36"/>
        <v>2025/26 Rates</v>
      </c>
      <c r="H29" s="16" t="str">
        <f t="shared" si="36"/>
        <v>2025/26 Rates</v>
      </c>
      <c r="I29" s="16" t="str">
        <f t="shared" si="36"/>
        <v>2025/26 Rates</v>
      </c>
      <c r="J29" s="16" t="str">
        <f t="shared" si="36"/>
        <v>2025/26 Rates</v>
      </c>
      <c r="K29" s="16" t="str">
        <f t="shared" si="36"/>
        <v>2025/26 Rates</v>
      </c>
      <c r="L29" s="16" t="str">
        <f t="shared" si="36"/>
        <v>2025/26 Rates</v>
      </c>
      <c r="M29" s="16" t="str">
        <f t="shared" si="36"/>
        <v>2025/26 Rates</v>
      </c>
      <c r="N29" s="16" t="str">
        <f t="shared" si="36"/>
        <v>2025/26 Rates</v>
      </c>
      <c r="O29" s="16" t="str">
        <f t="shared" si="36"/>
        <v>2025/26 Rates</v>
      </c>
      <c r="P29" s="16" t="str">
        <f t="shared" si="36"/>
        <v>2025/26 Rates</v>
      </c>
      <c r="Q29" s="16" t="str">
        <f t="shared" si="36"/>
        <v>2025/26 Rates</v>
      </c>
      <c r="R29" s="16" t="str">
        <f t="shared" si="36"/>
        <v>2025/26 Rates</v>
      </c>
      <c r="S29" s="16" t="str">
        <f t="shared" si="36"/>
        <v>2025/26 Rates</v>
      </c>
      <c r="T29" s="16" t="str">
        <f t="shared" si="36"/>
        <v>2025/26 Rates</v>
      </c>
      <c r="U29" s="16" t="str">
        <f t="shared" si="36"/>
        <v>2025/26 Rates</v>
      </c>
      <c r="V29" s="16" t="str">
        <f t="shared" si="36"/>
        <v>2025/26 Rates</v>
      </c>
      <c r="W29" s="16" t="str">
        <f t="shared" si="36"/>
        <v>2025/26 Rates</v>
      </c>
      <c r="X29" s="16" t="str">
        <f t="shared" si="36"/>
        <v>2025/26 Rates</v>
      </c>
      <c r="Y29" s="16" t="str">
        <f t="shared" si="36"/>
        <v>2025/26 Rates</v>
      </c>
      <c r="Z29" s="16" t="str">
        <f t="shared" si="36"/>
        <v>2025/26 Rates</v>
      </c>
      <c r="AA29" s="16" t="str">
        <f t="shared" si="36"/>
        <v>2025/26 Rates</v>
      </c>
      <c r="AB29" s="16" t="str">
        <f t="shared" si="36"/>
        <v>2025/26 Rates</v>
      </c>
      <c r="AC29" s="16" t="str">
        <f t="shared" si="36"/>
        <v>2025/26 Rates</v>
      </c>
      <c r="AD29" s="16" t="str">
        <f t="shared" si="36"/>
        <v>2025/26 Rates</v>
      </c>
      <c r="AE29" s="16" t="str">
        <f t="shared" si="36"/>
        <v>2025/26 Rates</v>
      </c>
      <c r="AF29" s="16" t="str">
        <f t="shared" si="36"/>
        <v>2025/26 Rates</v>
      </c>
      <c r="AG29" s="16" t="str">
        <f t="shared" si="36"/>
        <v>2025/26 Rates</v>
      </c>
      <c r="AH29" s="16" t="str">
        <f t="shared" si="36"/>
        <v>2025/26 Rates</v>
      </c>
      <c r="AI29" s="16" t="str">
        <f t="shared" si="36"/>
        <v>2025/26 Rates</v>
      </c>
      <c r="AK29" s="16" t="str">
        <f>AK$8</f>
        <v>2026/27 Rates</v>
      </c>
      <c r="AL29" s="16" t="str">
        <f t="shared" ref="AL29:BO29" si="37">AL$8</f>
        <v>2026/27 Rates</v>
      </c>
      <c r="AM29" s="16" t="str">
        <f t="shared" si="37"/>
        <v>2026/27 Rates</v>
      </c>
      <c r="AN29" s="16" t="str">
        <f t="shared" si="37"/>
        <v>2026/27 Rates</v>
      </c>
      <c r="AO29" s="16" t="str">
        <f t="shared" si="37"/>
        <v>2026/27 Rates</v>
      </c>
      <c r="AP29" s="16" t="str">
        <f t="shared" si="37"/>
        <v>2026/27 Rates</v>
      </c>
      <c r="AQ29" s="16" t="str">
        <f t="shared" si="37"/>
        <v>2026/27 Rates</v>
      </c>
      <c r="AR29" s="16" t="str">
        <f t="shared" si="37"/>
        <v>2026/27 Rates</v>
      </c>
      <c r="AS29" s="16" t="str">
        <f t="shared" si="37"/>
        <v>2026/27 Rates</v>
      </c>
      <c r="AT29" s="16" t="str">
        <f t="shared" si="37"/>
        <v>2026/27 Rates</v>
      </c>
      <c r="AU29" s="16" t="str">
        <f t="shared" si="37"/>
        <v>2026/27 Rates</v>
      </c>
      <c r="AV29" s="16" t="str">
        <f t="shared" si="37"/>
        <v>2026/27 Rates</v>
      </c>
      <c r="AW29" s="16" t="str">
        <f t="shared" si="37"/>
        <v>2026/27 Rates</v>
      </c>
      <c r="AX29" s="16" t="str">
        <f t="shared" si="37"/>
        <v>2026/27 Rates</v>
      </c>
      <c r="AY29" s="16" t="str">
        <f t="shared" si="37"/>
        <v>2026/27 Rates</v>
      </c>
      <c r="AZ29" s="16" t="str">
        <f t="shared" si="37"/>
        <v>2026/27 Rates</v>
      </c>
      <c r="BA29" s="16" t="str">
        <f t="shared" si="37"/>
        <v>2026/27 Rates</v>
      </c>
      <c r="BB29" s="16" t="str">
        <f t="shared" si="37"/>
        <v>2026/27 Rates</v>
      </c>
      <c r="BC29" s="16" t="str">
        <f t="shared" si="37"/>
        <v>2026/27 Rates</v>
      </c>
      <c r="BD29" s="16" t="str">
        <f t="shared" si="37"/>
        <v>2026/27 Rates</v>
      </c>
      <c r="BE29" s="16" t="str">
        <f t="shared" si="37"/>
        <v>2026/27 Rates</v>
      </c>
      <c r="BF29" s="16" t="str">
        <f t="shared" si="37"/>
        <v>2026/27 Rates</v>
      </c>
      <c r="BG29" s="16" t="str">
        <f t="shared" si="37"/>
        <v>2026/27 Rates</v>
      </c>
      <c r="BH29" s="16" t="str">
        <f t="shared" si="37"/>
        <v>2026/27 Rates</v>
      </c>
      <c r="BI29" s="16" t="str">
        <f t="shared" si="37"/>
        <v>2026/27 Rates</v>
      </c>
      <c r="BJ29" s="16" t="str">
        <f t="shared" si="37"/>
        <v>2026/27 Rates</v>
      </c>
      <c r="BK29" s="16" t="str">
        <f t="shared" si="37"/>
        <v>2026/27 Rates</v>
      </c>
      <c r="BL29" s="16" t="str">
        <f t="shared" si="37"/>
        <v>2026/27 Rates</v>
      </c>
      <c r="BM29" s="16" t="str">
        <f t="shared" si="37"/>
        <v>2026/27 Rates</v>
      </c>
      <c r="BN29" s="16" t="str">
        <f t="shared" si="37"/>
        <v>2026/27 Rates</v>
      </c>
      <c r="BO29" s="16" t="str">
        <f t="shared" si="37"/>
        <v>2026/27 Rates</v>
      </c>
    </row>
    <row r="30" spans="2:67" ht="3.9" customHeight="1"/>
    <row r="31" spans="2:67">
      <c r="C31" t="s">
        <v>255</v>
      </c>
      <c r="D31" s="21" t="s">
        <v>80</v>
      </c>
      <c r="E31" s="43">
        <f ca="1">SUMIFS(F31:AI31,$F$7:$AI$7,$F$2)</f>
        <v>0</v>
      </c>
      <c r="F31" s="4">
        <f>IFERROR(SPU_Annual_Total_Energy*'Rates Table'!F31,0)/100</f>
        <v>0</v>
      </c>
      <c r="G31" s="4">
        <f>IFERROR(SPU_Annual_Total_Energy*'Rates Table'!G31,0)/100</f>
        <v>0</v>
      </c>
      <c r="H31" s="4">
        <f>IFERROR(SPU_Annual_Total_Energy*'Rates Table'!H31,0)/100</f>
        <v>0</v>
      </c>
      <c r="I31" s="4">
        <f>IFERROR(SPU_Annual_Total_Energy*'Rates Table'!I31,0)/100</f>
        <v>0</v>
      </c>
      <c r="J31" s="4">
        <f>IFERROR(SPU_Annual_Total_Energy*'Rates Table'!J31,0)/100</f>
        <v>0</v>
      </c>
      <c r="K31" s="4">
        <f>IFERROR(SPU_Annual_Total_Energy*'Rates Table'!K31,0)/100</f>
        <v>0</v>
      </c>
      <c r="L31" s="4">
        <f>IFERROR(SPU_Annual_Total_Energy*'Rates Table'!L31,0)/100</f>
        <v>0</v>
      </c>
      <c r="M31" s="4">
        <f>IFERROR(SPU_Annual_Total_Energy*'Rates Table'!M31,0)/100</f>
        <v>0</v>
      </c>
      <c r="N31" s="4">
        <f>IFERROR(SPU_Annual_Total_Energy*'Rates Table'!N31,0)/100</f>
        <v>0</v>
      </c>
      <c r="O31" s="4">
        <f>IFERROR(SPU_Annual_Total_Energy*'Rates Table'!O31,0)/100</f>
        <v>0</v>
      </c>
      <c r="P31" s="4">
        <f>IFERROR(SPU_Annual_Total_Energy*'Rates Table'!P31,0)/100</f>
        <v>0</v>
      </c>
      <c r="Q31" s="4">
        <f>IFERROR(SPU_Annual_Total_Energy*'Rates Table'!Q31,0)/100</f>
        <v>0</v>
      </c>
      <c r="R31" s="4">
        <f>IFERROR(SPU_Annual_Total_Energy*'Rates Table'!R31,0)/100</f>
        <v>0</v>
      </c>
      <c r="S31" s="4">
        <f>IFERROR(SPU_Annual_Total_Energy*'Rates Table'!S31,0)/100</f>
        <v>0</v>
      </c>
      <c r="T31" s="4">
        <f>IFERROR(SPU_Annual_Total_Energy*'Rates Table'!T31,0)/100</f>
        <v>0</v>
      </c>
      <c r="U31" s="4">
        <f>IFERROR(SPU_Annual_Total_Energy*'Rates Table'!U31,0)/100</f>
        <v>0</v>
      </c>
      <c r="V31" s="4">
        <f>IFERROR(SPU_Annual_Total_Energy*'Rates Table'!V31,0)/100</f>
        <v>0</v>
      </c>
      <c r="W31" s="4">
        <f>IFERROR(SPU_Annual_Total_Energy*'Rates Table'!W31,0)/100</f>
        <v>0</v>
      </c>
      <c r="X31" s="4">
        <f>IFERROR(SPU_Annual_Total_Energy*'Rates Table'!X31,0)/100</f>
        <v>0</v>
      </c>
      <c r="Y31" s="4">
        <f>IFERROR(SPU_Annual_Total_Energy*'Rates Table'!Y31,0)/100</f>
        <v>0</v>
      </c>
      <c r="Z31" s="4">
        <f>IFERROR(SPU_Annual_Total_Energy*'Rates Table'!Z31,0)/100</f>
        <v>0</v>
      </c>
      <c r="AA31" s="4"/>
      <c r="AB31" s="4">
        <f>IFERROR(SPU_Annual_Total_Energy*'Rates Table'!AB31,0)/100</f>
        <v>0</v>
      </c>
      <c r="AC31" s="4">
        <f>IFERROR(SPU_Annual_Total_Energy*'Rates Table'!AC31,0)/100</f>
        <v>0</v>
      </c>
      <c r="AD31" s="4">
        <f>IFERROR(SPU_Annual_Total_Energy*'Rates Table'!AD31,0)/100</f>
        <v>0</v>
      </c>
      <c r="AE31" s="4">
        <f>IFERROR(SPU_Annual_Total_Energy*'Rates Table'!AF31,0)/100</f>
        <v>0</v>
      </c>
      <c r="AF31" s="4">
        <f>IFERROR(Homeflex_Total_Energy*'Rates Table'!AF31,0)/100</f>
        <v>0</v>
      </c>
      <c r="AG31" s="4">
        <f>IFERROR(Homeflex_Total_Energy*'Rates Table'!AG31,0)/100</f>
        <v>0</v>
      </c>
      <c r="AH31" s="4">
        <f>IFERROR(Homeflex_Total_Energy*'Rates Table'!AH31,0)/100</f>
        <v>0</v>
      </c>
      <c r="AI31" s="4">
        <f>IFERROR(Homeflex_Total_Energy*'Rates Table'!AI31,0)/100</f>
        <v>0</v>
      </c>
      <c r="AK31" s="43">
        <f ca="1">SUMIFS(AL31:BO31,$F$7:$AI$7,Selected_Tariff_ID)</f>
        <v>0</v>
      </c>
      <c r="AL31" s="4">
        <f>IFERROR(SPU_Annual_Total_Energy*'Rates Table'!AL31,0)/100</f>
        <v>0</v>
      </c>
      <c r="AM31" s="4">
        <f>IFERROR(SPU_Annual_Total_Energy*'Rates Table'!AM31,0)/100</f>
        <v>0</v>
      </c>
      <c r="AN31" s="4">
        <f>IFERROR(SPU_Annual_Total_Energy*'Rates Table'!AN31,0)/100</f>
        <v>0</v>
      </c>
      <c r="AO31" s="4">
        <f>IFERROR(SPU_Annual_Total_Energy*'Rates Table'!AO31,0)/100</f>
        <v>0</v>
      </c>
      <c r="AP31" s="4">
        <f>IFERROR(SPU_Annual_Total_Energy*'Rates Table'!AP31,0)/100</f>
        <v>0</v>
      </c>
      <c r="AQ31" s="4">
        <f>IFERROR(SPU_Annual_Total_Energy*'Rates Table'!AQ31,0)/100</f>
        <v>0</v>
      </c>
      <c r="AR31" s="4">
        <f>IFERROR(SPU_Annual_Total_Energy*'Rates Table'!AR31,0)/100</f>
        <v>0</v>
      </c>
      <c r="AS31" s="4">
        <f>IFERROR(SPU_Annual_Total_Energy*'Rates Table'!AS31,0)/100</f>
        <v>0</v>
      </c>
      <c r="AT31" s="4">
        <f>IFERROR(SPU_Annual_Total_Energy*'Rates Table'!AT31,0)/100</f>
        <v>0</v>
      </c>
      <c r="AU31" s="4">
        <f>IFERROR(SPU_Annual_Total_Energy*'Rates Table'!AU31,0)/100</f>
        <v>0</v>
      </c>
      <c r="AV31" s="4">
        <f>IFERROR(SPU_Annual_Total_Energy*'Rates Table'!AV31,0)/100</f>
        <v>0</v>
      </c>
      <c r="AW31" s="4">
        <f>IFERROR(SPU_Annual_Total_Energy*'Rates Table'!AW31,0)/100</f>
        <v>0</v>
      </c>
      <c r="AX31" s="4">
        <f>IFERROR(SPU_Annual_Total_Energy*'Rates Table'!AX31,0)/100</f>
        <v>0</v>
      </c>
      <c r="AY31" s="4">
        <f>IFERROR(SPU_Annual_Total_Energy*'Rates Table'!AY31,0)/100</f>
        <v>0</v>
      </c>
      <c r="AZ31" s="4">
        <f>IFERROR(SPU_Annual_Total_Energy*'Rates Table'!AZ31,0)/100</f>
        <v>0</v>
      </c>
      <c r="BA31" s="4">
        <f>IFERROR(SPU_Annual_Total_Energy*'Rates Table'!BA31,0)/100</f>
        <v>0</v>
      </c>
      <c r="BB31" s="4">
        <f>IFERROR(SPU_Annual_Total_Energy*'Rates Table'!BB31,0)/100</f>
        <v>0</v>
      </c>
      <c r="BC31" s="4">
        <f>IFERROR(SPU_Annual_Total_Energy*'Rates Table'!BC31,0)/100</f>
        <v>0</v>
      </c>
      <c r="BD31" s="4">
        <f>IFERROR(SPU_Annual_Total_Energy*'Rates Table'!BD31,0)/100</f>
        <v>0</v>
      </c>
      <c r="BE31" s="4">
        <f>IFERROR(SPU_Annual_Total_Energy*'Rates Table'!BE31,0)/100</f>
        <v>0</v>
      </c>
      <c r="BF31" s="4">
        <f>IFERROR(SPU_Annual_Total_Energy*'Rates Table'!BF31,0)/100</f>
        <v>0</v>
      </c>
      <c r="BG31" s="4">
        <f>IFERROR(SPU_Annual_Total_Energy*'Rates Table'!BG31,0)/100</f>
        <v>0</v>
      </c>
      <c r="BH31" s="4">
        <f>IFERROR(SPU_Annual_Total_Energy*'Rates Table'!BH31,0)/100</f>
        <v>0</v>
      </c>
      <c r="BI31" s="4">
        <f>IFERROR(SPU_Annual_Total_Energy*'Rates Table'!BI31,0)/100</f>
        <v>0</v>
      </c>
      <c r="BJ31" s="4">
        <f>IFERROR(SPU_Annual_Total_Energy*'Rates Table'!BJ31,0)/100</f>
        <v>0</v>
      </c>
      <c r="BK31" s="4">
        <f>IFERROR(SPU_Annual_Total_Energy*'Rates Table'!BK31,0)/100</f>
        <v>0</v>
      </c>
      <c r="BL31" s="4">
        <f>IFERROR(Homeflex_Total_Energy*'Rates Table'!BL31,0)/100</f>
        <v>0</v>
      </c>
      <c r="BM31" s="4">
        <f>IFERROR(Homeflex_Total_Energy*'Rates Table'!BM31,0)/100</f>
        <v>0</v>
      </c>
      <c r="BN31" s="4">
        <f>IFERROR(Homeflex_Total_Energy*'Rates Table'!BN31,0)/100</f>
        <v>0</v>
      </c>
      <c r="BO31" s="4">
        <f>IFERROR(Homeflex_Total_Energy*'Rates Table'!BO31,0)/100</f>
        <v>0</v>
      </c>
    </row>
    <row r="32" spans="2:67">
      <c r="C32" t="s">
        <v>84</v>
      </c>
      <c r="D32" s="21" t="str">
        <f ca="1">IF(Table_1=1,"R/day","R/day")</f>
        <v>R/day</v>
      </c>
      <c r="E32" s="43">
        <f ca="1">SUMIFS(F32:AI32,$F$7:$AI$7,$F$2)</f>
        <v>447.125</v>
      </c>
      <c r="F32" s="4">
        <f>IFERROR('Rates Table'!F32*PODs*ESKOM_Total_days,0)</f>
        <v>447.125</v>
      </c>
      <c r="G32" s="4">
        <f>IFERROR('Rates Table'!G32*PODs*ESKOM_Total_days,0)</f>
        <v>447.125</v>
      </c>
      <c r="H32" s="4">
        <f>IFERROR('Rates Table'!H32*PODs*ESKOM_Total_days,0)</f>
        <v>447.125</v>
      </c>
      <c r="I32" s="4">
        <f>IFERROR('Rates Table'!I32*PODs*ESKOM_Total_days,0)</f>
        <v>0</v>
      </c>
      <c r="J32" s="4">
        <f>IFERROR('Rates Table'!J32*PODs*ESKOM_Total_days,0)</f>
        <v>0</v>
      </c>
      <c r="K32" s="4">
        <f>IFERROR('Rates Table'!K32*PODs*ESKOM_Total_days,0)</f>
        <v>0</v>
      </c>
      <c r="L32" s="4">
        <f>IFERROR('Rates Table'!L32*PODs*ESKOM_Total_days,0)</f>
        <v>99.462500000000006</v>
      </c>
      <c r="M32" s="4">
        <f>IFERROR('Rates Table'!M32*PODs*ESKOM_Total_days,0)</f>
        <v>99.462500000000006</v>
      </c>
      <c r="N32" s="4">
        <f>IFERROR('Rates Table'!N32*PODs*ESKOM_Total_days,0)</f>
        <v>99.462500000000006</v>
      </c>
      <c r="O32" s="4">
        <f>IFERROR('Rates Table'!O32*PODs*ESKOM_Total_days,0)</f>
        <v>99.462500000000006</v>
      </c>
      <c r="P32" s="4">
        <f>IFERROR('Rates Table'!P32*PODs*ESKOM_Total_days,0)</f>
        <v>99.462500000000006</v>
      </c>
      <c r="Q32" s="4">
        <f>IFERROR('Rates Table'!Q32*PODs*ESKOM_Total_days,0)</f>
        <v>745.20833333333337</v>
      </c>
      <c r="R32" s="4">
        <f>IFERROR('Rates Table'!R32*PODs*ESKOM_Total_days,0)</f>
        <v>745.20833333333337</v>
      </c>
      <c r="S32" s="4">
        <f>IFERROR('Rates Table'!S32*PODs*ESKOM_Total_days,0)</f>
        <v>745.20833333333337</v>
      </c>
      <c r="T32" s="4">
        <f>IFERROR('Rates Table'!T32*PODs*ESKOM_Total_days,0)</f>
        <v>0</v>
      </c>
      <c r="U32" s="4">
        <f>IFERROR('Rates Table'!U32*PODs*ESKOM_Total_days,0)</f>
        <v>2646.25</v>
      </c>
      <c r="V32" s="4">
        <f>IFERROR('Rates Table'!V32*PODs*ESKOM_Total_days,0)</f>
        <v>0</v>
      </c>
      <c r="W32" s="4">
        <f>IFERROR('Rates Table'!W32*PODs*ESKOM_Total_days,0)</f>
        <v>0</v>
      </c>
      <c r="X32" s="4">
        <f>IFERROR('Rates Table'!X32*PODs*ESKOM_Total_days,0)</f>
        <v>0</v>
      </c>
      <c r="Y32" s="4">
        <f>IFERROR('Rates Table'!Y32*PODs*ESKOM_Total_days,0)</f>
        <v>0</v>
      </c>
      <c r="Z32" s="4">
        <f>IFERROR('Rates Table'!Z32*PODs*ESKOM_Total_days,0)</f>
        <v>982.45833333333326</v>
      </c>
      <c r="AA32" s="4"/>
      <c r="AB32" s="4">
        <f>IFERROR('Rates Table'!AB32*PODs*ESKOM_Total_days,0)</f>
        <v>0</v>
      </c>
      <c r="AC32" s="4">
        <f>IFERROR('Rates Table'!AC32*PODs*ESKOM_Total_days,0)</f>
        <v>0</v>
      </c>
      <c r="AD32" s="4">
        <f>IFERROR('Rates Table'!AD32*PODs*ESKOM_Total_days,0)</f>
        <v>0</v>
      </c>
      <c r="AE32" s="4">
        <f>IFERROR('Rates Table'!AF32*PODs*ESKOM_Total_days,0)</f>
        <v>99.462500000000006</v>
      </c>
      <c r="AF32" s="4">
        <f>IFERROR('Rates Table'!AF32*PODs*ESKOM_Total_days,0)</f>
        <v>99.462500000000006</v>
      </c>
      <c r="AG32" s="4">
        <f>IFERROR('Rates Table'!AG32*PODs*ESKOM_Total_days,0)</f>
        <v>99.462500000000006</v>
      </c>
      <c r="AH32" s="4">
        <f>IFERROR('Rates Table'!AH32*PODs*ESKOM_Total_days,0)</f>
        <v>99.462500000000006</v>
      </c>
      <c r="AI32" s="4">
        <f>IFERROR('Rates Table'!AI32*PODs*ESKOM_Total_days,0)</f>
        <v>99.462500000000006</v>
      </c>
      <c r="AK32" s="43">
        <f ca="1">SUMIFS(AL32:BO32,$F$7:$AI$7,Selected_Tariff_ID)</f>
        <v>486.36250000000001</v>
      </c>
      <c r="AL32" s="4">
        <f>IFERROR('Rates Table'!AL32*PODs*ESKOM_Total_days,0)</f>
        <v>486.36250000000001</v>
      </c>
      <c r="AM32" s="4">
        <f>IFERROR('Rates Table'!AM32*PODs*ESKOM_Total_days,0)</f>
        <v>486.36250000000001</v>
      </c>
      <c r="AN32" s="4">
        <f>IFERROR('Rates Table'!AN32*PODs*ESKOM_Total_days,0)</f>
        <v>486.36250000000001</v>
      </c>
      <c r="AO32" s="4">
        <f>IFERROR('Rates Table'!AO32*PODs*ESKOM_Total_days,0)</f>
        <v>0</v>
      </c>
      <c r="AP32" s="4">
        <f>IFERROR('Rates Table'!AP32*PODs*ESKOM_Total_days,0)</f>
        <v>0</v>
      </c>
      <c r="AQ32" s="4">
        <f>IFERROR('Rates Table'!AQ32*PODs*ESKOM_Total_days,0)</f>
        <v>0</v>
      </c>
      <c r="AR32" s="4">
        <f>IFERROR('Rates Table'!AR32*PODs*ESKOM_Total_days,0)</f>
        <v>174.59166666666667</v>
      </c>
      <c r="AS32" s="4">
        <f>IFERROR('Rates Table'!AS32*PODs*ESKOM_Total_days,0)</f>
        <v>174.59166666666667</v>
      </c>
      <c r="AT32" s="4">
        <f>IFERROR('Rates Table'!AT32*PODs*ESKOM_Total_days,0)</f>
        <v>174.59166666666667</v>
      </c>
      <c r="AU32" s="4">
        <f>IFERROR('Rates Table'!AU32*PODs*ESKOM_Total_days,0)</f>
        <v>174.59166666666667</v>
      </c>
      <c r="AV32" s="4">
        <f>IFERROR('Rates Table'!AV32*PODs*ESKOM_Total_days,0)</f>
        <v>174.59166666666667</v>
      </c>
      <c r="AW32" s="4">
        <f>IFERROR('Rates Table'!AW32*PODs*ESKOM_Total_days,0)</f>
        <v>810.60416666666663</v>
      </c>
      <c r="AX32" s="4">
        <f>IFERROR('Rates Table'!AX32*PODs*ESKOM_Total_days,0)</f>
        <v>810.60416666666663</v>
      </c>
      <c r="AY32" s="4">
        <f>IFERROR('Rates Table'!AY32*PODs*ESKOM_Total_days,0)</f>
        <v>810.60416666666663</v>
      </c>
      <c r="AZ32" s="4">
        <f>IFERROR('Rates Table'!AZ32*PODs*ESKOM_Total_days,0)</f>
        <v>0</v>
      </c>
      <c r="BA32" s="4">
        <f>IFERROR('Rates Table'!BA32*PODs*ESKOM_Total_days,0)</f>
        <v>2878.0250000000001</v>
      </c>
      <c r="BB32" s="4">
        <f>IFERROR('Rates Table'!BB32*PODs*ESKOM_Total_days,0)</f>
        <v>0</v>
      </c>
      <c r="BC32" s="4">
        <f>IFERROR('Rates Table'!BC32*PODs*ESKOM_Total_days,0)</f>
        <v>0</v>
      </c>
      <c r="BD32" s="4">
        <f>IFERROR('Rates Table'!BD32*PODs*ESKOM_Total_days,0)</f>
        <v>0</v>
      </c>
      <c r="BE32" s="4">
        <f>IFERROR('Rates Table'!BE32*PODs*ESKOM_Total_days,0)</f>
        <v>0</v>
      </c>
      <c r="BF32" s="4">
        <f>IFERROR('Rates Table'!BF32*PODs*ESKOM_Total_days,0)</f>
        <v>1068.5375000000001</v>
      </c>
      <c r="BG32" s="4">
        <f>IFERROR('Rates Table'!BG32*PODs*ESKOM_Total_days,0)</f>
        <v>0</v>
      </c>
      <c r="BH32" s="4">
        <f>IFERROR('Rates Table'!BH32*PODs*ESKOM_Total_days,0)</f>
        <v>0</v>
      </c>
      <c r="BI32" s="4">
        <f>IFERROR('Rates Table'!BI32*PODs*ESKOM_Total_days,0)</f>
        <v>0</v>
      </c>
      <c r="BJ32" s="4">
        <f>IFERROR('Rates Table'!BJ32*PODs*ESKOM_Total_days,0)</f>
        <v>0</v>
      </c>
      <c r="BK32" s="4">
        <f>IFERROR('Rates Table'!BK32*PODs*ESKOM_Total_days,0)</f>
        <v>0</v>
      </c>
      <c r="BL32" s="4">
        <f>IFERROR('Rates Table'!BL32*PODs*ESKOM_Total_days,0)</f>
        <v>174.59166666666667</v>
      </c>
      <c r="BM32" s="4">
        <f>IFERROR('Rates Table'!BM32*PODs*ESKOM_Total_days,0)</f>
        <v>174.59166666666667</v>
      </c>
      <c r="BN32" s="4">
        <f>IFERROR('Rates Table'!BN32*PODs*ESKOM_Total_days,0)</f>
        <v>174.59166666666667</v>
      </c>
      <c r="BO32" s="4">
        <f>IFERROR('Rates Table'!BO32*PODs*ESKOM_Total_days,0)</f>
        <v>174.59166666666667</v>
      </c>
    </row>
    <row r="33" spans="2:67">
      <c r="C33" t="s">
        <v>381</v>
      </c>
      <c r="D33" s="21" t="s">
        <v>80</v>
      </c>
      <c r="E33" s="43">
        <f ca="1">SUMIFS(F33:AI33,$F$7:$AI$7,$F$2)</f>
        <v>0</v>
      </c>
      <c r="F33" s="4">
        <f>IFERROR(SPU_Annual_Total_Energy*'Rates Table'!F33,0)/100</f>
        <v>0</v>
      </c>
      <c r="G33" s="4">
        <f>IFERROR(SPU_Annual_Total_Energy*'Rates Table'!G33,0)/100</f>
        <v>0</v>
      </c>
      <c r="H33" s="4">
        <f>IFERROR(SPU_Annual_Total_Energy*'Rates Table'!H33,0)/100</f>
        <v>0</v>
      </c>
      <c r="I33" s="4">
        <f>IFERROR(SPU_Annual_Total_Energy*'Rates Table'!I33,0)/100</f>
        <v>0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K33" s="43">
        <f ca="1">SUMIFS(AL33:BO33,$F$7:$AI$7,Selected_Tariff_ID)</f>
        <v>0</v>
      </c>
      <c r="AL33" s="4">
        <f>IFERROR(SPU_Annual_Total_Energy*'Rates Table'!AL33,0)/100</f>
        <v>0</v>
      </c>
      <c r="AM33" s="4">
        <f>IFERROR(SPU_Annual_Total_Energy*'Rates Table'!AM33,0)/100</f>
        <v>0</v>
      </c>
      <c r="AN33" s="4">
        <f>IFERROR(SPU_Annual_Total_Energy*'Rates Table'!AN33,0)/100</f>
        <v>0</v>
      </c>
      <c r="AO33" s="4">
        <f>IFERROR(SPU_Annual_Total_Energy*'Rates Table'!AO33,0)/100</f>
        <v>0</v>
      </c>
      <c r="AP33" s="4">
        <f>IFERROR(SPU_Annual_Total_Energy*'Rates Table'!AP33,0)/100</f>
        <v>0</v>
      </c>
      <c r="AQ33" s="4">
        <f>IFERROR(SPU_Annual_Total_Energy*'Rates Table'!AQ33,0)/100</f>
        <v>0</v>
      </c>
      <c r="AR33" s="4">
        <f>IFERROR(SPU_Annual_Total_Energy*'Rates Table'!AR33,0)/100</f>
        <v>0</v>
      </c>
      <c r="AS33" s="4">
        <f>IFERROR(SPU_Annual_Total_Energy*'Rates Table'!AS33,0)/100</f>
        <v>0</v>
      </c>
      <c r="AT33" s="4">
        <f>IFERROR(SPU_Annual_Total_Energy*'Rates Table'!AT33,0)/100</f>
        <v>0</v>
      </c>
      <c r="AU33" s="4">
        <f>IFERROR(SPU_Annual_Total_Energy*'Rates Table'!AU33,0)/100</f>
        <v>0</v>
      </c>
      <c r="AV33" s="4">
        <f>IFERROR(SPU_Annual_Total_Energy*'Rates Table'!AV33,0)/100</f>
        <v>0</v>
      </c>
      <c r="AW33" s="4">
        <f>IFERROR(SPU_Annual_Total_Energy*'Rates Table'!AW33,0)/100</f>
        <v>0</v>
      </c>
      <c r="AX33" s="4">
        <f>IFERROR(SPU_Annual_Total_Energy*'Rates Table'!AX33,0)/100</f>
        <v>0</v>
      </c>
      <c r="AY33" s="4">
        <f>IFERROR(SPU_Annual_Total_Energy*'Rates Table'!AY33,0)/100</f>
        <v>0</v>
      </c>
      <c r="AZ33" s="4">
        <f>IFERROR(SPU_Annual_Total_Energy*'Rates Table'!AZ33,0)/100</f>
        <v>0</v>
      </c>
      <c r="BA33" s="4">
        <f>IFERROR(SPU_Annual_Total_Energy*'Rates Table'!BA33,0)/100</f>
        <v>0</v>
      </c>
      <c r="BB33" s="4">
        <f>IFERROR(SPU_Annual_Total_Energy*'Rates Table'!BB33,0)/100</f>
        <v>0</v>
      </c>
      <c r="BC33" s="4">
        <f>IFERROR(SPU_Annual_Total_Energy*'Rates Table'!BC33,0)/100</f>
        <v>0</v>
      </c>
      <c r="BD33" s="4">
        <f>IFERROR(SPU_Annual_Total_Energy*'Rates Table'!BD33,0)/100</f>
        <v>0</v>
      </c>
      <c r="BE33" s="4">
        <f>IFERROR(SPU_Annual_Total_Energy*'Rates Table'!BE33,0)/100</f>
        <v>0</v>
      </c>
      <c r="BF33" s="4">
        <f>IFERROR(SPU_Annual_Total_Energy*'Rates Table'!BF33,0)/100</f>
        <v>0</v>
      </c>
      <c r="BG33" s="4">
        <f>IFERROR(SPU_Annual_Total_Energy*'Rates Table'!BG33,0)/100</f>
        <v>0</v>
      </c>
      <c r="BH33" s="4">
        <f>IFERROR(SPU_Annual_Total_Energy*'Rates Table'!BH33,0)/100</f>
        <v>0</v>
      </c>
      <c r="BI33" s="4">
        <f>IFERROR(SPU_Annual_Total_Energy*'Rates Table'!BI33,0)/100</f>
        <v>0</v>
      </c>
      <c r="BJ33" s="4">
        <f>IFERROR(SPU_Annual_Total_Energy*'Rates Table'!BJ33,0)/100</f>
        <v>0</v>
      </c>
      <c r="BK33" s="4">
        <f>IFERROR(SPU_Annual_Total_Energy*'Rates Table'!BK33,0)/100</f>
        <v>0</v>
      </c>
      <c r="BL33" s="4">
        <f>IFERROR(Homeflex_Total_Energy*'Rates Table'!BL33,0)/100</f>
        <v>0</v>
      </c>
      <c r="BM33" s="4">
        <f>IFERROR(Homeflex_Total_Energy*'Rates Table'!BM33,0)/100</f>
        <v>0</v>
      </c>
      <c r="BN33" s="4">
        <f>IFERROR(Homeflex_Total_Energy*'Rates Table'!BN33,0)/100</f>
        <v>0</v>
      </c>
      <c r="BO33" s="4">
        <f>IFERROR(Homeflex_Total_Energy*'Rates Table'!BO33,0)/100</f>
        <v>0</v>
      </c>
    </row>
    <row r="34" spans="2:67" ht="14.4" customHeight="1"/>
    <row r="35" spans="2:67">
      <c r="B35" s="6" t="s">
        <v>94</v>
      </c>
      <c r="C35" s="6"/>
      <c r="D35" s="5"/>
      <c r="E35" s="5">
        <f ca="1">SUM(E30:E33)</f>
        <v>447.125</v>
      </c>
      <c r="F35" s="5">
        <f t="shared" ref="F35:AI35" si="38">SUM(F30:F33)</f>
        <v>447.125</v>
      </c>
      <c r="G35" s="5">
        <f t="shared" si="38"/>
        <v>447.125</v>
      </c>
      <c r="H35" s="5">
        <f t="shared" si="38"/>
        <v>447.125</v>
      </c>
      <c r="I35" s="5">
        <f t="shared" si="38"/>
        <v>0</v>
      </c>
      <c r="J35" s="5">
        <f t="shared" si="38"/>
        <v>0</v>
      </c>
      <c r="K35" s="5">
        <f t="shared" si="38"/>
        <v>0</v>
      </c>
      <c r="L35" s="5">
        <f t="shared" si="38"/>
        <v>99.462500000000006</v>
      </c>
      <c r="M35" s="5">
        <f t="shared" si="38"/>
        <v>99.462500000000006</v>
      </c>
      <c r="N35" s="5">
        <f t="shared" si="38"/>
        <v>99.462500000000006</v>
      </c>
      <c r="O35" s="5">
        <f t="shared" si="38"/>
        <v>99.462500000000006</v>
      </c>
      <c r="P35" s="5">
        <f t="shared" si="38"/>
        <v>99.462500000000006</v>
      </c>
      <c r="Q35" s="5">
        <f t="shared" si="38"/>
        <v>745.20833333333337</v>
      </c>
      <c r="R35" s="5">
        <f t="shared" si="38"/>
        <v>745.20833333333337</v>
      </c>
      <c r="S35" s="5">
        <f t="shared" si="38"/>
        <v>745.20833333333337</v>
      </c>
      <c r="T35" s="5">
        <f t="shared" si="38"/>
        <v>0</v>
      </c>
      <c r="U35" s="5">
        <f t="shared" si="38"/>
        <v>2646.25</v>
      </c>
      <c r="V35" s="5">
        <f t="shared" si="38"/>
        <v>0</v>
      </c>
      <c r="W35" s="5">
        <f t="shared" si="38"/>
        <v>0</v>
      </c>
      <c r="X35" s="5">
        <f t="shared" si="38"/>
        <v>0</v>
      </c>
      <c r="Y35" s="5">
        <f t="shared" si="38"/>
        <v>0</v>
      </c>
      <c r="Z35" s="5">
        <f>SUM(Z30:Z33)</f>
        <v>982.45833333333326</v>
      </c>
      <c r="AA35" s="5">
        <f t="shared" ref="AA35:AE35" si="39">SUM(AA30:AA33)</f>
        <v>0</v>
      </c>
      <c r="AB35" s="5">
        <f t="shared" si="39"/>
        <v>0</v>
      </c>
      <c r="AC35" s="5">
        <f t="shared" si="39"/>
        <v>0</v>
      </c>
      <c r="AD35" s="5">
        <f t="shared" si="39"/>
        <v>0</v>
      </c>
      <c r="AE35" s="5">
        <f t="shared" si="39"/>
        <v>99.462500000000006</v>
      </c>
      <c r="AF35" s="5">
        <f t="shared" si="38"/>
        <v>99.462500000000006</v>
      </c>
      <c r="AG35" s="5">
        <f t="shared" si="38"/>
        <v>99.462500000000006</v>
      </c>
      <c r="AH35" s="5">
        <f t="shared" si="38"/>
        <v>99.462500000000006</v>
      </c>
      <c r="AI35" s="5">
        <f t="shared" si="38"/>
        <v>99.462500000000006</v>
      </c>
      <c r="AK35" s="5">
        <f ca="1">SUM(AK30:AK33)</f>
        <v>486.36250000000001</v>
      </c>
      <c r="AL35" s="5">
        <f t="shared" ref="AL35:BO35" si="40">SUM(AL30:AL33)</f>
        <v>486.36250000000001</v>
      </c>
      <c r="AM35" s="5">
        <f t="shared" si="40"/>
        <v>486.36250000000001</v>
      </c>
      <c r="AN35" s="5">
        <f t="shared" si="40"/>
        <v>486.36250000000001</v>
      </c>
      <c r="AO35" s="5">
        <f t="shared" si="40"/>
        <v>0</v>
      </c>
      <c r="AP35" s="5">
        <f t="shared" si="40"/>
        <v>0</v>
      </c>
      <c r="AQ35" s="5">
        <f t="shared" si="40"/>
        <v>0</v>
      </c>
      <c r="AR35" s="5">
        <f t="shared" si="40"/>
        <v>174.59166666666667</v>
      </c>
      <c r="AS35" s="5">
        <f t="shared" si="40"/>
        <v>174.59166666666667</v>
      </c>
      <c r="AT35" s="5">
        <f t="shared" si="40"/>
        <v>174.59166666666667</v>
      </c>
      <c r="AU35" s="5">
        <f t="shared" si="40"/>
        <v>174.59166666666667</v>
      </c>
      <c r="AV35" s="5">
        <f t="shared" si="40"/>
        <v>174.59166666666667</v>
      </c>
      <c r="AW35" s="5">
        <f t="shared" si="40"/>
        <v>810.60416666666663</v>
      </c>
      <c r="AX35" s="5">
        <f t="shared" si="40"/>
        <v>810.60416666666663</v>
      </c>
      <c r="AY35" s="5">
        <f t="shared" si="40"/>
        <v>810.60416666666663</v>
      </c>
      <c r="AZ35" s="5">
        <f t="shared" si="40"/>
        <v>0</v>
      </c>
      <c r="BA35" s="5">
        <f t="shared" si="40"/>
        <v>2878.0250000000001</v>
      </c>
      <c r="BB35" s="5">
        <f t="shared" si="40"/>
        <v>0</v>
      </c>
      <c r="BC35" s="5">
        <f t="shared" si="40"/>
        <v>0</v>
      </c>
      <c r="BD35" s="5">
        <f t="shared" si="40"/>
        <v>0</v>
      </c>
      <c r="BE35" s="5">
        <f t="shared" si="40"/>
        <v>0</v>
      </c>
      <c r="BF35" s="5">
        <f>SUM(BF30:BF33)</f>
        <v>1068.5375000000001</v>
      </c>
      <c r="BG35" s="5">
        <f t="shared" ref="BG35:BJ35" si="41">SUM(BG30:BG33)</f>
        <v>0</v>
      </c>
      <c r="BH35" s="5">
        <f t="shared" si="41"/>
        <v>0</v>
      </c>
      <c r="BI35" s="5">
        <f t="shared" si="41"/>
        <v>0</v>
      </c>
      <c r="BJ35" s="5">
        <f t="shared" si="41"/>
        <v>0</v>
      </c>
      <c r="BK35" s="5">
        <f t="shared" ref="BK35" si="42">SUM(BK30:BK33)</f>
        <v>0</v>
      </c>
      <c r="BL35" s="5">
        <f t="shared" si="40"/>
        <v>174.59166666666667</v>
      </c>
      <c r="BM35" s="5">
        <f t="shared" si="40"/>
        <v>174.59166666666667</v>
      </c>
      <c r="BN35" s="5">
        <f t="shared" si="40"/>
        <v>174.59166666666667</v>
      </c>
      <c r="BO35" s="5">
        <f t="shared" si="40"/>
        <v>174.59166666666667</v>
      </c>
    </row>
    <row r="37" spans="2:67">
      <c r="B37" s="6" t="s">
        <v>85</v>
      </c>
      <c r="C37" s="6"/>
      <c r="D37" s="6"/>
      <c r="E37" s="5">
        <f t="shared" ref="E37:T37" ca="1" si="43">E35+E27+E14</f>
        <v>1126.0250000000001</v>
      </c>
      <c r="F37" s="5">
        <f t="shared" ca="1" si="43"/>
        <v>1126.0250000000001</v>
      </c>
      <c r="G37" s="5">
        <f t="shared" ca="1" si="43"/>
        <v>1455.7416666666668</v>
      </c>
      <c r="H37" s="5">
        <f t="shared" ca="1" si="43"/>
        <v>2964.104166666667</v>
      </c>
      <c r="I37" s="5">
        <f t="shared" ca="1" si="43"/>
        <v>0</v>
      </c>
      <c r="J37" s="5">
        <f t="shared" ca="1" si="43"/>
        <v>0</v>
      </c>
      <c r="K37" s="5">
        <f t="shared" ca="1" si="43"/>
        <v>0</v>
      </c>
      <c r="L37" s="5">
        <f t="shared" ca="1" si="43"/>
        <v>490.31666666666672</v>
      </c>
      <c r="M37" s="5">
        <f t="shared" ca="1" si="43"/>
        <v>961.47083333333342</v>
      </c>
      <c r="N37" s="5">
        <f t="shared" ca="1" si="43"/>
        <v>1952.4458333333334</v>
      </c>
      <c r="O37" s="5">
        <f t="shared" ca="1" si="43"/>
        <v>367.73750000000001</v>
      </c>
      <c r="P37" s="5">
        <f t="shared" ca="1" si="43"/>
        <v>1927.5041666666668</v>
      </c>
      <c r="Q37" s="5">
        <f t="shared" ca="1" si="43"/>
        <v>2719.5541666666668</v>
      </c>
      <c r="R37" s="5">
        <f t="shared" ca="1" si="43"/>
        <v>3858.6583333333338</v>
      </c>
      <c r="S37" s="5">
        <f t="shared" ca="1" si="43"/>
        <v>5788.9</v>
      </c>
      <c r="T37" s="5">
        <f t="shared" ca="1" si="43"/>
        <v>1450.875</v>
      </c>
      <c r="U37" s="5">
        <f t="shared" ref="U37:AF37" ca="1" si="44">U35+U27+U14</f>
        <v>2646.25</v>
      </c>
      <c r="V37" s="5">
        <f t="shared" ca="1" si="44"/>
        <v>0</v>
      </c>
      <c r="W37" s="5">
        <f t="shared" ca="1" si="44"/>
        <v>0</v>
      </c>
      <c r="X37" s="5">
        <f t="shared" ca="1" si="44"/>
        <v>0</v>
      </c>
      <c r="Y37" s="5">
        <f t="shared" ca="1" si="44"/>
        <v>0</v>
      </c>
      <c r="Z37" s="5">
        <f ca="1">Z35+Z27+Z14</f>
        <v>982.45833333333326</v>
      </c>
      <c r="AA37" s="5">
        <f t="shared" ref="AA37:AE37" si="45">AA35+AA27+AA14</f>
        <v>0</v>
      </c>
      <c r="AB37" s="5">
        <f t="shared" ca="1" si="45"/>
        <v>0</v>
      </c>
      <c r="AC37" s="5">
        <f t="shared" ca="1" si="45"/>
        <v>0</v>
      </c>
      <c r="AD37" s="5">
        <f t="shared" ca="1" si="45"/>
        <v>0</v>
      </c>
      <c r="AE37" s="5">
        <f t="shared" ca="1" si="45"/>
        <v>99.462500000000006</v>
      </c>
      <c r="AF37" s="5">
        <f t="shared" ca="1" si="44"/>
        <v>490.31666666666672</v>
      </c>
      <c r="AG37" s="5">
        <f ca="1">AG35+AG27+AG14</f>
        <v>961.47083333333342</v>
      </c>
      <c r="AH37" s="5">
        <f ca="1">AH35+AH27+AH14</f>
        <v>1952.4458333333334</v>
      </c>
      <c r="AI37" s="5">
        <f ca="1">AI35+AI27+AI14</f>
        <v>367.73750000000001</v>
      </c>
      <c r="AK37" s="5">
        <f ca="1">AK35+AK27+AK14</f>
        <v>1250.4291666666668</v>
      </c>
      <c r="AL37" s="5">
        <f t="shared" ref="AL37:AZ37" ca="1" si="46">AL35+AL27+AL14</f>
        <v>1250.4291666666668</v>
      </c>
      <c r="AM37" s="5">
        <f t="shared" ca="1" si="46"/>
        <v>1622.1208333333334</v>
      </c>
      <c r="AN37" s="5">
        <f t="shared" ca="1" si="46"/>
        <v>3319.979166666667</v>
      </c>
      <c r="AO37" s="5">
        <f t="shared" ca="1" si="46"/>
        <v>0</v>
      </c>
      <c r="AP37" s="5">
        <f t="shared" ca="1" si="46"/>
        <v>0</v>
      </c>
      <c r="AQ37" s="5">
        <f t="shared" ca="1" si="46"/>
        <v>0</v>
      </c>
      <c r="AR37" s="5">
        <f t="shared" ca="1" si="46"/>
        <v>608.94166666666661</v>
      </c>
      <c r="AS37" s="5">
        <f t="shared" ca="1" si="46"/>
        <v>1128.7625</v>
      </c>
      <c r="AT37" s="5">
        <f t="shared" ca="1" si="46"/>
        <v>2230.4541666666669</v>
      </c>
      <c r="AU37" s="5">
        <f t="shared" ca="1" si="46"/>
        <v>472.37083333333334</v>
      </c>
      <c r="AV37" s="5">
        <f t="shared" ca="1" si="46"/>
        <v>2225.2833333333333</v>
      </c>
      <c r="AW37" s="5">
        <f t="shared" ca="1" si="46"/>
        <v>2993.3041666666672</v>
      </c>
      <c r="AX37" s="5">
        <f t="shared" ca="1" si="46"/>
        <v>4267.1541666666672</v>
      </c>
      <c r="AY37" s="5">
        <f t="shared" ca="1" si="46"/>
        <v>6433.4291666666668</v>
      </c>
      <c r="AZ37" s="5">
        <f t="shared" ca="1" si="46"/>
        <v>1601.1333333333332</v>
      </c>
      <c r="BA37" s="5">
        <f t="shared" ref="BA37:BL37" ca="1" si="47">BA35+BA27+BA14</f>
        <v>2878.0250000000001</v>
      </c>
      <c r="BB37" s="5">
        <f t="shared" ca="1" si="47"/>
        <v>0</v>
      </c>
      <c r="BC37" s="5">
        <f t="shared" ca="1" si="47"/>
        <v>0</v>
      </c>
      <c r="BD37" s="5">
        <f t="shared" ca="1" si="47"/>
        <v>0</v>
      </c>
      <c r="BE37" s="5">
        <f t="shared" ca="1" si="47"/>
        <v>0</v>
      </c>
      <c r="BF37" s="5">
        <f ca="1">BF35+BF27+BF14</f>
        <v>1068.5375000000001</v>
      </c>
      <c r="BG37" s="5">
        <f t="shared" ref="BG37:BJ37" ca="1" si="48">BG35+BG27+BG14</f>
        <v>0</v>
      </c>
      <c r="BH37" s="5">
        <f t="shared" ca="1" si="48"/>
        <v>0</v>
      </c>
      <c r="BI37" s="5">
        <f t="shared" ca="1" si="48"/>
        <v>0</v>
      </c>
      <c r="BJ37" s="5">
        <f t="shared" ca="1" si="48"/>
        <v>0</v>
      </c>
      <c r="BK37" s="5">
        <f t="shared" ref="BK37" ca="1" si="49">BK35+BK27+BK14</f>
        <v>0</v>
      </c>
      <c r="BL37" s="5">
        <f t="shared" ca="1" si="47"/>
        <v>608.94166666666661</v>
      </c>
      <c r="BM37" s="5">
        <f ca="1">BM35+BM27+BM14</f>
        <v>1128.7625</v>
      </c>
      <c r="BN37" s="5">
        <f ca="1">BN35+BN27+BN14</f>
        <v>2230.4541666666669</v>
      </c>
      <c r="BO37" s="5">
        <f ca="1">BO35+BO27+BO14</f>
        <v>472.37083333333334</v>
      </c>
    </row>
    <row r="38" spans="2:67">
      <c r="B38" t="s">
        <v>86</v>
      </c>
      <c r="D38" s="31">
        <f>'Monthly Average Bill'!D51</f>
        <v>0.15</v>
      </c>
      <c r="E38" s="22">
        <f ca="1">E37*$D38</f>
        <v>168.90375</v>
      </c>
      <c r="F38" s="22">
        <f t="shared" ref="F38:T38" ca="1" si="50">F37*$D38</f>
        <v>168.90375</v>
      </c>
      <c r="G38" s="22">
        <f t="shared" ca="1" si="50"/>
        <v>218.36125000000001</v>
      </c>
      <c r="H38" s="22">
        <f t="shared" ca="1" si="50"/>
        <v>444.61562500000002</v>
      </c>
      <c r="I38" s="22">
        <f t="shared" ca="1" si="50"/>
        <v>0</v>
      </c>
      <c r="J38" s="22">
        <f t="shared" ca="1" si="50"/>
        <v>0</v>
      </c>
      <c r="K38" s="22">
        <f t="shared" ca="1" si="50"/>
        <v>0</v>
      </c>
      <c r="L38" s="22">
        <f t="shared" ca="1" si="50"/>
        <v>73.547499999999999</v>
      </c>
      <c r="M38" s="22">
        <f t="shared" ca="1" si="50"/>
        <v>144.22062500000001</v>
      </c>
      <c r="N38" s="22">
        <f t="shared" ca="1" si="50"/>
        <v>292.86687499999999</v>
      </c>
      <c r="O38" s="22">
        <f t="shared" ca="1" si="50"/>
        <v>55.160625000000003</v>
      </c>
      <c r="P38" s="22">
        <f t="shared" ca="1" si="50"/>
        <v>289.12562500000001</v>
      </c>
      <c r="Q38" s="22">
        <f t="shared" ca="1" si="50"/>
        <v>407.93312500000002</v>
      </c>
      <c r="R38" s="22">
        <f t="shared" ca="1" si="50"/>
        <v>578.79875000000004</v>
      </c>
      <c r="S38" s="22">
        <f t="shared" ca="1" si="50"/>
        <v>868.33499999999992</v>
      </c>
      <c r="T38" s="22">
        <f t="shared" ca="1" si="50"/>
        <v>217.63124999999999</v>
      </c>
      <c r="U38" s="22">
        <f t="shared" ref="U38:AF38" ca="1" si="51">U37*$D38</f>
        <v>396.9375</v>
      </c>
      <c r="V38" s="22">
        <f t="shared" ca="1" si="51"/>
        <v>0</v>
      </c>
      <c r="W38" s="22">
        <f t="shared" ca="1" si="51"/>
        <v>0</v>
      </c>
      <c r="X38" s="22">
        <f t="shared" ca="1" si="51"/>
        <v>0</v>
      </c>
      <c r="Y38" s="22">
        <f t="shared" ca="1" si="51"/>
        <v>0</v>
      </c>
      <c r="Z38" s="22">
        <f ca="1">Z37*$D38</f>
        <v>147.36874999999998</v>
      </c>
      <c r="AA38" s="22">
        <f t="shared" ref="AA38:AE38" si="52">AA37*$D38</f>
        <v>0</v>
      </c>
      <c r="AB38" s="22">
        <f t="shared" ca="1" si="52"/>
        <v>0</v>
      </c>
      <c r="AC38" s="22">
        <f t="shared" ca="1" si="52"/>
        <v>0</v>
      </c>
      <c r="AD38" s="22">
        <f t="shared" ca="1" si="52"/>
        <v>0</v>
      </c>
      <c r="AE38" s="22">
        <f t="shared" ca="1" si="52"/>
        <v>14.919375</v>
      </c>
      <c r="AF38" s="22">
        <f t="shared" ca="1" si="51"/>
        <v>73.547499999999999</v>
      </c>
      <c r="AG38" s="22">
        <f ca="1">AG37*$D38</f>
        <v>144.22062500000001</v>
      </c>
      <c r="AH38" s="22">
        <f ca="1">AH37*$D38</f>
        <v>292.86687499999999</v>
      </c>
      <c r="AI38" s="22">
        <f ca="1">AI37*$D38</f>
        <v>55.160625000000003</v>
      </c>
      <c r="AK38" s="22">
        <f t="shared" ref="AK38:AZ38" ca="1" si="53">AK37*$D38</f>
        <v>187.56437500000001</v>
      </c>
      <c r="AL38" s="22">
        <f t="shared" ca="1" si="53"/>
        <v>187.56437500000001</v>
      </c>
      <c r="AM38" s="22">
        <f t="shared" ca="1" si="53"/>
        <v>243.31812500000001</v>
      </c>
      <c r="AN38" s="22">
        <f t="shared" ca="1" si="53"/>
        <v>497.99687500000005</v>
      </c>
      <c r="AO38" s="22">
        <f t="shared" ca="1" si="53"/>
        <v>0</v>
      </c>
      <c r="AP38" s="22">
        <f t="shared" ca="1" si="53"/>
        <v>0</v>
      </c>
      <c r="AQ38" s="22">
        <f t="shared" ca="1" si="53"/>
        <v>0</v>
      </c>
      <c r="AR38" s="22">
        <f t="shared" ca="1" si="53"/>
        <v>91.341249999999988</v>
      </c>
      <c r="AS38" s="22">
        <f t="shared" ca="1" si="53"/>
        <v>169.31437500000001</v>
      </c>
      <c r="AT38" s="22">
        <f t="shared" ca="1" si="53"/>
        <v>334.56812500000001</v>
      </c>
      <c r="AU38" s="22">
        <f t="shared" ca="1" si="53"/>
        <v>70.855625000000003</v>
      </c>
      <c r="AV38" s="22">
        <f t="shared" ca="1" si="53"/>
        <v>333.79249999999996</v>
      </c>
      <c r="AW38" s="22">
        <f t="shared" ca="1" si="53"/>
        <v>448.99562500000008</v>
      </c>
      <c r="AX38" s="22">
        <f t="shared" ca="1" si="53"/>
        <v>640.073125</v>
      </c>
      <c r="AY38" s="22">
        <f t="shared" ca="1" si="53"/>
        <v>965.01437499999997</v>
      </c>
      <c r="AZ38" s="22">
        <f t="shared" ca="1" si="53"/>
        <v>240.16999999999996</v>
      </c>
      <c r="BA38" s="22">
        <f t="shared" ref="BA38:BL38" ca="1" si="54">BA37*$D38</f>
        <v>431.70375000000001</v>
      </c>
      <c r="BB38" s="22">
        <f t="shared" ca="1" si="54"/>
        <v>0</v>
      </c>
      <c r="BC38" s="22">
        <f t="shared" ca="1" si="54"/>
        <v>0</v>
      </c>
      <c r="BD38" s="22">
        <f t="shared" ca="1" si="54"/>
        <v>0</v>
      </c>
      <c r="BE38" s="22">
        <f t="shared" ca="1" si="54"/>
        <v>0</v>
      </c>
      <c r="BF38" s="22">
        <f ca="1">BF37*$D38</f>
        <v>160.28062500000001</v>
      </c>
      <c r="BG38" s="22">
        <f t="shared" ref="BG38:BJ38" ca="1" si="55">BG37*$D38</f>
        <v>0</v>
      </c>
      <c r="BH38" s="22">
        <f t="shared" ca="1" si="55"/>
        <v>0</v>
      </c>
      <c r="BI38" s="22">
        <f t="shared" ca="1" si="55"/>
        <v>0</v>
      </c>
      <c r="BJ38" s="22">
        <f t="shared" ca="1" si="55"/>
        <v>0</v>
      </c>
      <c r="BK38" s="22">
        <f t="shared" ref="BK38" ca="1" si="56">BK37*$D38</f>
        <v>0</v>
      </c>
      <c r="BL38" s="22">
        <f t="shared" ca="1" si="54"/>
        <v>91.341249999999988</v>
      </c>
      <c r="BM38" s="22">
        <f ca="1">BM37*$D38</f>
        <v>169.31437500000001</v>
      </c>
      <c r="BN38" s="22">
        <f ca="1">BN37*$D38</f>
        <v>334.56812500000001</v>
      </c>
      <c r="BO38" s="22">
        <f ca="1">BO37*$D38</f>
        <v>70.855625000000003</v>
      </c>
    </row>
    <row r="40" spans="2:67" ht="12.6" thickBot="1">
      <c r="B40" s="27" t="s">
        <v>87</v>
      </c>
      <c r="C40" s="27"/>
      <c r="D40" s="27"/>
      <c r="E40" s="29">
        <f ca="1">SUM(E37:E38)</f>
        <v>1294.92875</v>
      </c>
      <c r="F40" s="29">
        <f t="shared" ref="F40:T40" ca="1" si="57">SUM(F37:F38)</f>
        <v>1294.92875</v>
      </c>
      <c r="G40" s="29">
        <f t="shared" ca="1" si="57"/>
        <v>1674.1029166666667</v>
      </c>
      <c r="H40" s="29">
        <f t="shared" ca="1" si="57"/>
        <v>3408.7197916666669</v>
      </c>
      <c r="I40" s="29">
        <f t="shared" ca="1" si="57"/>
        <v>0</v>
      </c>
      <c r="J40" s="29">
        <f t="shared" ca="1" si="57"/>
        <v>0</v>
      </c>
      <c r="K40" s="29">
        <f t="shared" ca="1" si="57"/>
        <v>0</v>
      </c>
      <c r="L40" s="29">
        <f t="shared" ca="1" si="57"/>
        <v>563.86416666666673</v>
      </c>
      <c r="M40" s="29">
        <f t="shared" ca="1" si="57"/>
        <v>1105.6914583333335</v>
      </c>
      <c r="N40" s="29">
        <f t="shared" ca="1" si="57"/>
        <v>2245.3127083333334</v>
      </c>
      <c r="O40" s="29">
        <f t="shared" ca="1" si="57"/>
        <v>422.89812499999999</v>
      </c>
      <c r="P40" s="29">
        <f t="shared" ca="1" si="57"/>
        <v>2216.6297916666667</v>
      </c>
      <c r="Q40" s="29">
        <f t="shared" ca="1" si="57"/>
        <v>3127.4872916666668</v>
      </c>
      <c r="R40" s="29">
        <f t="shared" ca="1" si="57"/>
        <v>4437.4570833333337</v>
      </c>
      <c r="S40" s="29">
        <f t="shared" ca="1" si="57"/>
        <v>6657.2349999999997</v>
      </c>
      <c r="T40" s="29">
        <f t="shared" ca="1" si="57"/>
        <v>1668.5062499999999</v>
      </c>
      <c r="U40" s="29">
        <f t="shared" ref="U40:AF40" ca="1" si="58">SUM(U37:U38)</f>
        <v>3043.1875</v>
      </c>
      <c r="V40" s="29">
        <f t="shared" ca="1" si="58"/>
        <v>0</v>
      </c>
      <c r="W40" s="29">
        <f t="shared" ca="1" si="58"/>
        <v>0</v>
      </c>
      <c r="X40" s="29">
        <f t="shared" ca="1" si="58"/>
        <v>0</v>
      </c>
      <c r="Y40" s="29">
        <f t="shared" ca="1" si="58"/>
        <v>0</v>
      </c>
      <c r="Z40" s="29">
        <f ca="1">SUM(Z37:Z38)</f>
        <v>1129.8270833333331</v>
      </c>
      <c r="AA40" s="29">
        <f t="shared" ref="AA40:AE40" si="59">SUM(AA37:AA38)</f>
        <v>0</v>
      </c>
      <c r="AB40" s="29">
        <f t="shared" ca="1" si="59"/>
        <v>0</v>
      </c>
      <c r="AC40" s="29">
        <f t="shared" ca="1" si="59"/>
        <v>0</v>
      </c>
      <c r="AD40" s="29">
        <f t="shared" ca="1" si="59"/>
        <v>0</v>
      </c>
      <c r="AE40" s="29">
        <f t="shared" ca="1" si="59"/>
        <v>114.38187500000001</v>
      </c>
      <c r="AF40" s="29">
        <f t="shared" ca="1" si="58"/>
        <v>563.86416666666673</v>
      </c>
      <c r="AG40" s="29">
        <f ca="1">SUM(AG37:AG38)</f>
        <v>1105.6914583333335</v>
      </c>
      <c r="AH40" s="29">
        <f ca="1">SUM(AH37:AH38)</f>
        <v>2245.3127083333334</v>
      </c>
      <c r="AI40" s="29">
        <f ca="1">SUM(AI37:AI38)</f>
        <v>422.89812499999999</v>
      </c>
      <c r="AK40" s="29">
        <f ca="1">SUM(AK37:AK38)</f>
        <v>1437.9935416666667</v>
      </c>
      <c r="AL40" s="29">
        <f t="shared" ref="AL40:AZ40" ca="1" si="60">SUM(AL37:AL38)</f>
        <v>1437.9935416666667</v>
      </c>
      <c r="AM40" s="29">
        <f t="shared" ca="1" si="60"/>
        <v>1865.4389583333334</v>
      </c>
      <c r="AN40" s="29">
        <f t="shared" ca="1" si="60"/>
        <v>3817.9760416666668</v>
      </c>
      <c r="AO40" s="29">
        <f t="shared" ca="1" si="60"/>
        <v>0</v>
      </c>
      <c r="AP40" s="29">
        <f t="shared" ca="1" si="60"/>
        <v>0</v>
      </c>
      <c r="AQ40" s="29">
        <f t="shared" ca="1" si="60"/>
        <v>0</v>
      </c>
      <c r="AR40" s="29">
        <f t="shared" ca="1" si="60"/>
        <v>700.28291666666655</v>
      </c>
      <c r="AS40" s="29">
        <f t="shared" ca="1" si="60"/>
        <v>1298.076875</v>
      </c>
      <c r="AT40" s="29">
        <f t="shared" ca="1" si="60"/>
        <v>2565.0222916666671</v>
      </c>
      <c r="AU40" s="29">
        <f t="shared" ca="1" si="60"/>
        <v>543.22645833333331</v>
      </c>
      <c r="AV40" s="29">
        <f t="shared" ca="1" si="60"/>
        <v>2559.0758333333333</v>
      </c>
      <c r="AW40" s="29">
        <f t="shared" ca="1" si="60"/>
        <v>3442.2997916666673</v>
      </c>
      <c r="AX40" s="29">
        <f t="shared" ca="1" si="60"/>
        <v>4907.227291666667</v>
      </c>
      <c r="AY40" s="29">
        <f t="shared" ca="1" si="60"/>
        <v>7398.4435416666665</v>
      </c>
      <c r="AZ40" s="29">
        <f t="shared" ca="1" si="60"/>
        <v>1841.3033333333333</v>
      </c>
      <c r="BA40" s="29">
        <f t="shared" ref="BA40:BL40" ca="1" si="61">SUM(BA37:BA38)</f>
        <v>3309.7287500000002</v>
      </c>
      <c r="BB40" s="29">
        <f t="shared" ca="1" si="61"/>
        <v>0</v>
      </c>
      <c r="BC40" s="29">
        <f t="shared" ca="1" si="61"/>
        <v>0</v>
      </c>
      <c r="BD40" s="29">
        <f t="shared" ca="1" si="61"/>
        <v>0</v>
      </c>
      <c r="BE40" s="29">
        <f t="shared" ca="1" si="61"/>
        <v>0</v>
      </c>
      <c r="BF40" s="29">
        <f ca="1">SUM(BF37:BF38)</f>
        <v>1228.8181250000002</v>
      </c>
      <c r="BG40" s="29">
        <f t="shared" ref="BG40:BJ40" ca="1" si="62">SUM(BG37:BG38)</f>
        <v>0</v>
      </c>
      <c r="BH40" s="29">
        <f t="shared" ca="1" si="62"/>
        <v>0</v>
      </c>
      <c r="BI40" s="29">
        <f t="shared" ca="1" si="62"/>
        <v>0</v>
      </c>
      <c r="BJ40" s="29">
        <f t="shared" ca="1" si="62"/>
        <v>0</v>
      </c>
      <c r="BK40" s="29">
        <f t="shared" ref="BK40" ca="1" si="63">SUM(BK37:BK38)</f>
        <v>0</v>
      </c>
      <c r="BL40" s="29">
        <f t="shared" ca="1" si="61"/>
        <v>700.28291666666655</v>
      </c>
      <c r="BM40" s="29">
        <f ca="1">SUM(BM37:BM38)</f>
        <v>1298.076875</v>
      </c>
      <c r="BN40" s="29">
        <f ca="1">SUM(BN37:BN38)</f>
        <v>2565.0222916666671</v>
      </c>
      <c r="BO40" s="29">
        <f ca="1">SUM(BO37:BO38)</f>
        <v>543.22645833333331</v>
      </c>
    </row>
    <row r="42" spans="2:67">
      <c r="B42" s="2" t="s">
        <v>88</v>
      </c>
      <c r="D42" s="2"/>
      <c r="E42" s="37" t="e">
        <f ca="1">SUMIFS(F42:AI42,$F$7:$AI$7,$F$2)</f>
        <v>#DIV/0!</v>
      </c>
      <c r="F42" s="37" t="e">
        <f t="shared" ref="F42:T42" ca="1" si="64">F37/SPU_Annual_Total_Energy*100</f>
        <v>#DIV/0!</v>
      </c>
      <c r="G42" s="37" t="e">
        <f t="shared" ca="1" si="64"/>
        <v>#DIV/0!</v>
      </c>
      <c r="H42" s="2" t="e">
        <f ca="1">H37/SPU_Annual_Total_Energy*100</f>
        <v>#DIV/0!</v>
      </c>
      <c r="I42" s="37" t="e">
        <f t="shared" ca="1" si="64"/>
        <v>#DIV/0!</v>
      </c>
      <c r="J42" s="37" t="e">
        <f t="shared" ca="1" si="64"/>
        <v>#DIV/0!</v>
      </c>
      <c r="K42" s="37" t="e">
        <f t="shared" ca="1" si="64"/>
        <v>#DIV/0!</v>
      </c>
      <c r="L42" s="37" t="e">
        <f t="shared" ca="1" si="64"/>
        <v>#DIV/0!</v>
      </c>
      <c r="M42" s="37" t="e">
        <f t="shared" ca="1" si="64"/>
        <v>#DIV/0!</v>
      </c>
      <c r="N42" s="37" t="e">
        <f t="shared" ca="1" si="64"/>
        <v>#DIV/0!</v>
      </c>
      <c r="O42" s="37" t="e">
        <f t="shared" ca="1" si="64"/>
        <v>#DIV/0!</v>
      </c>
      <c r="P42" s="37" t="e">
        <f t="shared" ca="1" si="64"/>
        <v>#DIV/0!</v>
      </c>
      <c r="Q42" s="37" t="e">
        <f t="shared" ca="1" si="64"/>
        <v>#DIV/0!</v>
      </c>
      <c r="R42" s="37" t="e">
        <f t="shared" ca="1" si="64"/>
        <v>#DIV/0!</v>
      </c>
      <c r="S42" s="37" t="e">
        <f t="shared" ca="1" si="64"/>
        <v>#DIV/0!</v>
      </c>
      <c r="T42" s="37" t="e">
        <f t="shared" ca="1" si="64"/>
        <v>#DIV/0!</v>
      </c>
      <c r="U42" s="37" t="e">
        <f t="shared" ref="U42:AF42" ca="1" si="65">U37/SPU_Annual_Total_Energy*100</f>
        <v>#DIV/0!</v>
      </c>
      <c r="V42" s="37" t="e">
        <f t="shared" ca="1" si="65"/>
        <v>#DIV/0!</v>
      </c>
      <c r="W42" s="37" t="e">
        <f t="shared" ca="1" si="65"/>
        <v>#DIV/0!</v>
      </c>
      <c r="X42" s="37" t="e">
        <f t="shared" ca="1" si="65"/>
        <v>#DIV/0!</v>
      </c>
      <c r="Y42" s="37" t="e">
        <f t="shared" ca="1" si="65"/>
        <v>#DIV/0!</v>
      </c>
      <c r="Z42" s="37" t="e">
        <f t="shared" ref="Z42:AE42" ca="1" si="66">Z37/SPU_Annual_Total_Energy*100</f>
        <v>#DIV/0!</v>
      </c>
      <c r="AA42" s="37" t="e">
        <f t="shared" si="66"/>
        <v>#DIV/0!</v>
      </c>
      <c r="AB42" s="37" t="e">
        <f t="shared" ca="1" si="66"/>
        <v>#DIV/0!</v>
      </c>
      <c r="AC42" s="37" t="e">
        <f t="shared" ca="1" si="66"/>
        <v>#DIV/0!</v>
      </c>
      <c r="AD42" s="37" t="e">
        <f t="shared" ca="1" si="66"/>
        <v>#DIV/0!</v>
      </c>
      <c r="AE42" s="37" t="e">
        <f t="shared" ca="1" si="66"/>
        <v>#DIV/0!</v>
      </c>
      <c r="AF42" s="37" t="e">
        <f t="shared" ca="1" si="65"/>
        <v>#DIV/0!</v>
      </c>
      <c r="AG42" s="37" t="e">
        <f ca="1">AG37/SPU_Annual_Total_Energy*100</f>
        <v>#DIV/0!</v>
      </c>
      <c r="AH42" s="37" t="e">
        <f ca="1">AH37/SPU_Annual_Total_Energy*100</f>
        <v>#DIV/0!</v>
      </c>
      <c r="AI42" s="37" t="e">
        <f ca="1">AI37/SPU_Annual_Total_Energy*100</f>
        <v>#DIV/0!</v>
      </c>
      <c r="AK42" s="37" t="e">
        <f ca="1">SUMIFS(AL42:BO42,$F$7:$AI$7,Selected_Tariff_ID)</f>
        <v>#DIV/0!</v>
      </c>
      <c r="AL42" s="37" t="e">
        <f t="shared" ref="AL42:AZ42" ca="1" si="67">AL37/SPU_Annual_Total_Energy*100</f>
        <v>#DIV/0!</v>
      </c>
      <c r="AM42" s="37" t="e">
        <f t="shared" ca="1" si="67"/>
        <v>#DIV/0!</v>
      </c>
      <c r="AN42" s="37" t="e">
        <f t="shared" ca="1" si="67"/>
        <v>#DIV/0!</v>
      </c>
      <c r="AO42" s="37" t="e">
        <f t="shared" ca="1" si="67"/>
        <v>#DIV/0!</v>
      </c>
      <c r="AP42" s="37" t="e">
        <f t="shared" ca="1" si="67"/>
        <v>#DIV/0!</v>
      </c>
      <c r="AQ42" s="37" t="e">
        <f t="shared" ca="1" si="67"/>
        <v>#DIV/0!</v>
      </c>
      <c r="AR42" s="37" t="e">
        <f t="shared" ca="1" si="67"/>
        <v>#DIV/0!</v>
      </c>
      <c r="AS42" s="37" t="e">
        <f t="shared" ca="1" si="67"/>
        <v>#DIV/0!</v>
      </c>
      <c r="AT42" s="37" t="e">
        <f t="shared" ca="1" si="67"/>
        <v>#DIV/0!</v>
      </c>
      <c r="AU42" s="37" t="e">
        <f t="shared" ca="1" si="67"/>
        <v>#DIV/0!</v>
      </c>
      <c r="AV42" s="37" t="e">
        <f t="shared" ca="1" si="67"/>
        <v>#DIV/0!</v>
      </c>
      <c r="AW42" s="37" t="e">
        <f t="shared" ca="1" si="67"/>
        <v>#DIV/0!</v>
      </c>
      <c r="AX42" s="37" t="e">
        <f t="shared" ca="1" si="67"/>
        <v>#DIV/0!</v>
      </c>
      <c r="AY42" s="37" t="e">
        <f t="shared" ca="1" si="67"/>
        <v>#DIV/0!</v>
      </c>
      <c r="AZ42" s="37" t="e">
        <f t="shared" ca="1" si="67"/>
        <v>#DIV/0!</v>
      </c>
      <c r="BA42" s="37" t="e">
        <f t="shared" ref="BA42:BL42" ca="1" si="68">BA37/SPU_Annual_Total_Energy*100</f>
        <v>#DIV/0!</v>
      </c>
      <c r="BB42" s="37" t="e">
        <f t="shared" ca="1" si="68"/>
        <v>#DIV/0!</v>
      </c>
      <c r="BC42" s="37" t="e">
        <f t="shared" ca="1" si="68"/>
        <v>#DIV/0!</v>
      </c>
      <c r="BD42" s="37" t="e">
        <f t="shared" ca="1" si="68"/>
        <v>#DIV/0!</v>
      </c>
      <c r="BE42" s="37" t="e">
        <f t="shared" ca="1" si="68"/>
        <v>#DIV/0!</v>
      </c>
      <c r="BF42" s="37" t="e">
        <f ca="1">BF37/SPU_Annual_Total_Energy*100</f>
        <v>#DIV/0!</v>
      </c>
      <c r="BG42" s="37" t="e">
        <f t="shared" ref="BG42:BJ42" ca="1" si="69">BG37/SPU_Annual_Total_Energy*100</f>
        <v>#DIV/0!</v>
      </c>
      <c r="BH42" s="37" t="e">
        <f t="shared" ca="1" si="69"/>
        <v>#DIV/0!</v>
      </c>
      <c r="BI42" s="37" t="e">
        <f t="shared" ca="1" si="69"/>
        <v>#DIV/0!</v>
      </c>
      <c r="BJ42" s="37" t="e">
        <f t="shared" ca="1" si="69"/>
        <v>#DIV/0!</v>
      </c>
      <c r="BK42" s="37" t="e">
        <f t="shared" ref="BK42" ca="1" si="70">BK37/SPU_Annual_Total_Energy*100</f>
        <v>#DIV/0!</v>
      </c>
      <c r="BL42" s="37" t="e">
        <f t="shared" ca="1" si="68"/>
        <v>#DIV/0!</v>
      </c>
      <c r="BM42" s="37" t="e">
        <f ca="1">BM37/SPU_Annual_Total_Energy*100</f>
        <v>#DIV/0!</v>
      </c>
      <c r="BN42" s="37" t="e">
        <f ca="1">BN37/SPU_Annual_Total_Energy*100</f>
        <v>#DIV/0!</v>
      </c>
      <c r="BO42" s="37" t="e">
        <f ca="1">BO37/SPU_Annual_Total_Energy*100</f>
        <v>#DIV/0!</v>
      </c>
    </row>
    <row r="44" spans="2:67">
      <c r="B44" s="2" t="s">
        <v>120</v>
      </c>
    </row>
    <row r="45" spans="2:67">
      <c r="C45" t="s">
        <v>182</v>
      </c>
      <c r="E45">
        <f ca="1">SUMIFS(F45:AI45,$F$7:$AI$7,$F$2)</f>
        <v>0</v>
      </c>
      <c r="F45">
        <f>'Rates Table'!F44</f>
        <v>0</v>
      </c>
      <c r="G45">
        <f>'Rates Table'!G44</f>
        <v>0</v>
      </c>
      <c r="H45">
        <f>'Rates Table'!H44</f>
        <v>0</v>
      </c>
      <c r="I45">
        <f>'Rates Table'!I44</f>
        <v>0</v>
      </c>
      <c r="J45">
        <f>'Rates Table'!J44</f>
        <v>0</v>
      </c>
      <c r="K45">
        <f>'Rates Table'!K44</f>
        <v>0</v>
      </c>
      <c r="L45">
        <f>'Rates Table'!L44</f>
        <v>0</v>
      </c>
      <c r="M45">
        <f>'Rates Table'!M44</f>
        <v>0</v>
      </c>
      <c r="N45">
        <f>'Rates Table'!N44</f>
        <v>0</v>
      </c>
      <c r="O45">
        <f>'Rates Table'!O44</f>
        <v>0</v>
      </c>
      <c r="P45">
        <f>'Rates Table'!P44</f>
        <v>0</v>
      </c>
      <c r="Q45">
        <f>'Rates Table'!Q44</f>
        <v>0</v>
      </c>
      <c r="R45">
        <f>'Rates Table'!R44</f>
        <v>0</v>
      </c>
      <c r="S45">
        <f>'Rates Table'!S44</f>
        <v>0</v>
      </c>
      <c r="T45">
        <f>'Rates Table'!T44</f>
        <v>0</v>
      </c>
      <c r="U45">
        <f>'Rates Table'!U44</f>
        <v>0</v>
      </c>
      <c r="V45">
        <f>'Rates Table'!V44</f>
        <v>0</v>
      </c>
      <c r="W45">
        <f>'Rates Table'!W44</f>
        <v>0</v>
      </c>
      <c r="X45">
        <f>'Rates Table'!X44</f>
        <v>0</v>
      </c>
      <c r="Y45">
        <f>'Rates Table'!Y44</f>
        <v>0</v>
      </c>
      <c r="Z45">
        <f>'Rates Table'!Z44</f>
        <v>0</v>
      </c>
      <c r="AA45">
        <f>'Rates Table'!AA44</f>
        <v>0</v>
      </c>
      <c r="AB45">
        <f>'Rates Table'!AB44</f>
        <v>0</v>
      </c>
      <c r="AC45">
        <f>'Rates Table'!AC44</f>
        <v>0</v>
      </c>
      <c r="AD45">
        <f>'Rates Table'!AD44</f>
        <v>0</v>
      </c>
      <c r="AE45">
        <f>'Rates Table'!AF44</f>
        <v>0</v>
      </c>
      <c r="AF45">
        <f>'Rates Table'!AF44</f>
        <v>0</v>
      </c>
      <c r="AG45">
        <f>'Rates Table'!AG44</f>
        <v>0</v>
      </c>
      <c r="AH45">
        <f>'Rates Table'!AH44</f>
        <v>0</v>
      </c>
      <c r="AI45">
        <f>'Rates Table'!AI44</f>
        <v>0</v>
      </c>
      <c r="AK45">
        <f ca="1">SUMIFS(AL45:BO45,$F$7:$AI$7,Selected_Tariff_ID)</f>
        <v>0</v>
      </c>
      <c r="AL45">
        <f t="shared" ref="AL45:AU46" si="71">F45</f>
        <v>0</v>
      </c>
      <c r="AM45">
        <f t="shared" si="71"/>
        <v>0</v>
      </c>
      <c r="AN45">
        <f t="shared" si="71"/>
        <v>0</v>
      </c>
      <c r="AO45">
        <f t="shared" si="71"/>
        <v>0</v>
      </c>
      <c r="AP45">
        <f t="shared" si="71"/>
        <v>0</v>
      </c>
      <c r="AQ45">
        <f t="shared" si="71"/>
        <v>0</v>
      </c>
      <c r="AR45">
        <f t="shared" si="71"/>
        <v>0</v>
      </c>
      <c r="AS45">
        <f t="shared" si="71"/>
        <v>0</v>
      </c>
      <c r="AT45">
        <f t="shared" si="71"/>
        <v>0</v>
      </c>
      <c r="AU45">
        <f t="shared" si="71"/>
        <v>0</v>
      </c>
      <c r="AV45">
        <f t="shared" ref="AV45:BE46" si="72">P45</f>
        <v>0</v>
      </c>
      <c r="AW45">
        <f t="shared" si="72"/>
        <v>0</v>
      </c>
      <c r="AX45">
        <f t="shared" si="72"/>
        <v>0</v>
      </c>
      <c r="AY45">
        <f t="shared" si="72"/>
        <v>0</v>
      </c>
      <c r="AZ45">
        <f t="shared" si="72"/>
        <v>0</v>
      </c>
      <c r="BA45">
        <f t="shared" si="72"/>
        <v>0</v>
      </c>
      <c r="BB45">
        <f t="shared" si="72"/>
        <v>0</v>
      </c>
      <c r="BC45">
        <f t="shared" si="72"/>
        <v>0</v>
      </c>
      <c r="BD45">
        <f t="shared" si="72"/>
        <v>0</v>
      </c>
      <c r="BE45">
        <f t="shared" si="72"/>
        <v>0</v>
      </c>
      <c r="BF45">
        <f t="shared" ref="BF45:BK46" si="73">Z45</f>
        <v>0</v>
      </c>
      <c r="BG45">
        <f t="shared" si="73"/>
        <v>0</v>
      </c>
      <c r="BH45">
        <f t="shared" si="73"/>
        <v>0</v>
      </c>
      <c r="BI45">
        <f t="shared" si="73"/>
        <v>0</v>
      </c>
      <c r="BJ45">
        <f t="shared" si="73"/>
        <v>0</v>
      </c>
      <c r="BK45">
        <f t="shared" si="73"/>
        <v>0</v>
      </c>
      <c r="BL45">
        <f t="shared" ref="BL45:BO46" si="74">AF45</f>
        <v>0</v>
      </c>
      <c r="BM45">
        <f t="shared" si="74"/>
        <v>0</v>
      </c>
      <c r="BN45">
        <f t="shared" si="74"/>
        <v>0</v>
      </c>
      <c r="BO45">
        <f t="shared" si="74"/>
        <v>0</v>
      </c>
    </row>
    <row r="46" spans="2:67">
      <c r="C46" t="s">
        <v>156</v>
      </c>
      <c r="E46" t="str">
        <f ca="1">Selected_Tariff_Type</f>
        <v>Urban</v>
      </c>
      <c r="F46" t="str">
        <f t="shared" ref="F46:AI46" si="75">INDEX(Full_Tariff_Type,F$7,)</f>
        <v>Urban</v>
      </c>
      <c r="G46" t="str">
        <f t="shared" si="75"/>
        <v>Urban</v>
      </c>
      <c r="H46" t="str">
        <f t="shared" si="75"/>
        <v>Urban</v>
      </c>
      <c r="I46" t="str">
        <f t="shared" si="75"/>
        <v>Urban</v>
      </c>
      <c r="J46" t="str">
        <f t="shared" si="75"/>
        <v>Urban</v>
      </c>
      <c r="K46" t="str">
        <f t="shared" si="75"/>
        <v>Urban</v>
      </c>
      <c r="L46" t="str">
        <f t="shared" si="75"/>
        <v>Urban</v>
      </c>
      <c r="M46" t="str">
        <f t="shared" si="75"/>
        <v>Urban</v>
      </c>
      <c r="N46" t="str">
        <f t="shared" si="75"/>
        <v>Urban</v>
      </c>
      <c r="O46" t="str">
        <f t="shared" si="75"/>
        <v>Urban</v>
      </c>
      <c r="P46" t="str">
        <f t="shared" si="75"/>
        <v>Urban</v>
      </c>
      <c r="Q46" t="str">
        <f t="shared" si="75"/>
        <v>Rural</v>
      </c>
      <c r="R46" t="str">
        <f t="shared" si="75"/>
        <v>Rural</v>
      </c>
      <c r="S46" t="str">
        <f t="shared" si="75"/>
        <v>Rural</v>
      </c>
      <c r="T46" t="str">
        <f t="shared" si="75"/>
        <v>Rural</v>
      </c>
      <c r="U46" t="str">
        <f t="shared" si="75"/>
        <v>Rural</v>
      </c>
      <c r="V46" t="str">
        <f t="shared" si="75"/>
        <v>Rural</v>
      </c>
      <c r="W46" t="str">
        <f t="shared" si="75"/>
        <v>Rural</v>
      </c>
      <c r="X46" t="str">
        <f t="shared" si="75"/>
        <v>Urban</v>
      </c>
      <c r="Y46" t="str">
        <f t="shared" si="75"/>
        <v>Urban</v>
      </c>
      <c r="Z46" t="str">
        <f t="shared" si="75"/>
        <v>Urban</v>
      </c>
      <c r="AA46" t="str">
        <f t="shared" si="75"/>
        <v>Urban</v>
      </c>
      <c r="AB46" t="str">
        <f t="shared" si="75"/>
        <v>Urban</v>
      </c>
      <c r="AC46" t="str">
        <f t="shared" si="75"/>
        <v>Urban</v>
      </c>
      <c r="AD46" t="str">
        <f t="shared" si="75"/>
        <v>Urban</v>
      </c>
      <c r="AE46" t="str">
        <f t="shared" si="75"/>
        <v>Urban</v>
      </c>
      <c r="AF46" t="str">
        <f t="shared" si="75"/>
        <v>Urban</v>
      </c>
      <c r="AG46" t="str">
        <f t="shared" si="75"/>
        <v>Urban</v>
      </c>
      <c r="AH46" t="str">
        <f t="shared" si="75"/>
        <v>Urban</v>
      </c>
      <c r="AI46" t="str">
        <f t="shared" si="75"/>
        <v>Urban</v>
      </c>
      <c r="AK46" t="str">
        <f ca="1">Selected_Tariff_Type</f>
        <v>Urban</v>
      </c>
      <c r="AL46" t="str">
        <f t="shared" si="71"/>
        <v>Urban</v>
      </c>
      <c r="AM46" t="str">
        <f t="shared" si="71"/>
        <v>Urban</v>
      </c>
      <c r="AN46" t="str">
        <f t="shared" si="71"/>
        <v>Urban</v>
      </c>
      <c r="AO46" t="str">
        <f t="shared" si="71"/>
        <v>Urban</v>
      </c>
      <c r="AP46" t="str">
        <f t="shared" si="71"/>
        <v>Urban</v>
      </c>
      <c r="AQ46" t="str">
        <f t="shared" si="71"/>
        <v>Urban</v>
      </c>
      <c r="AR46" t="str">
        <f t="shared" si="71"/>
        <v>Urban</v>
      </c>
      <c r="AS46" t="str">
        <f t="shared" si="71"/>
        <v>Urban</v>
      </c>
      <c r="AT46" t="str">
        <f t="shared" si="71"/>
        <v>Urban</v>
      </c>
      <c r="AU46" t="str">
        <f t="shared" si="71"/>
        <v>Urban</v>
      </c>
      <c r="AV46" t="str">
        <f t="shared" si="72"/>
        <v>Urban</v>
      </c>
      <c r="AW46" t="str">
        <f t="shared" si="72"/>
        <v>Rural</v>
      </c>
      <c r="AX46" t="str">
        <f t="shared" si="72"/>
        <v>Rural</v>
      </c>
      <c r="AY46" t="str">
        <f t="shared" si="72"/>
        <v>Rural</v>
      </c>
      <c r="AZ46" t="str">
        <f t="shared" si="72"/>
        <v>Rural</v>
      </c>
      <c r="BA46" t="str">
        <f t="shared" si="72"/>
        <v>Rural</v>
      </c>
      <c r="BB46" t="str">
        <f t="shared" si="72"/>
        <v>Rural</v>
      </c>
      <c r="BC46" t="str">
        <f t="shared" si="72"/>
        <v>Rural</v>
      </c>
      <c r="BD46" t="str">
        <f t="shared" si="72"/>
        <v>Urban</v>
      </c>
      <c r="BE46" t="str">
        <f t="shared" si="72"/>
        <v>Urban</v>
      </c>
      <c r="BF46" t="str">
        <f t="shared" si="73"/>
        <v>Urban</v>
      </c>
      <c r="BG46" t="str">
        <f t="shared" si="73"/>
        <v>Urban</v>
      </c>
      <c r="BH46" t="str">
        <f t="shared" si="73"/>
        <v>Urban</v>
      </c>
      <c r="BI46" t="str">
        <f t="shared" si="73"/>
        <v>Urban</v>
      </c>
      <c r="BJ46" t="str">
        <f t="shared" si="73"/>
        <v>Urban</v>
      </c>
      <c r="BK46" t="str">
        <f t="shared" si="73"/>
        <v>Urban</v>
      </c>
      <c r="BL46" t="str">
        <f t="shared" si="74"/>
        <v>Urban</v>
      </c>
      <c r="BM46" t="str">
        <f t="shared" si="74"/>
        <v>Urban</v>
      </c>
      <c r="BN46" t="str">
        <f t="shared" si="74"/>
        <v>Urban</v>
      </c>
      <c r="BO46" t="str">
        <f t="shared" si="74"/>
        <v>Urban</v>
      </c>
    </row>
  </sheetData>
  <sheetProtection algorithmName="SHA-512" hashValue="iXGNCdnYjS66/8g3IydJuR3gAp2f0LuEDY1NVwCVaM9otm9VfpYwTlFwOjlx+EUk23HpZ6rR997FevuH0rsl/w==" saltValue="7YLXi5RRiXFGYZV3NYr0RQ==" spinCount="100000" sheet="1" objects="1" scenarios="1"/>
  <phoneticPr fontId="35" type="noConversion"/>
  <pageMargins left="0.7" right="0.7" top="0.75" bottom="0.75" header="0.3" footer="0.3"/>
  <pageSetup paperSize="9" orientation="portrait" r:id="rId1"/>
  <ignoredErrors>
    <ignoredError sqref="D13:E17 D10 D12 D19:D21 D18 D26:E26 D22 D23 D34:E34 D31 D32 D42 D28:E30 D27 D36:E41 D35" evalError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608CB-875B-4FD0-9E97-44AC15529A86}">
  <sheetPr codeName="Sheet7"/>
  <dimension ref="B1:BO46"/>
  <sheetViews>
    <sheetView showGridLines="0" zoomScale="99" zoomScaleNormal="99" workbookViewId="0">
      <pane xSplit="4" ySplit="6" topLeftCell="E7" activePane="bottomRight" state="frozen"/>
      <selection activeCell="F63" sqref="F63"/>
      <selection pane="topRight" activeCell="F63" sqref="F63"/>
      <selection pane="bottomLeft" activeCell="F63" sqref="F63"/>
      <selection pane="bottomRight" activeCell="D24" sqref="D24"/>
    </sheetView>
  </sheetViews>
  <sheetFormatPr defaultColWidth="9.28515625" defaultRowHeight="12"/>
  <cols>
    <col min="1" max="2" width="2.85546875" customWidth="1"/>
    <col min="3" max="3" width="35.42578125" bestFit="1" customWidth="1"/>
    <col min="4" max="4" width="14.28515625" customWidth="1"/>
    <col min="5" max="35" width="16" customWidth="1"/>
    <col min="37" max="68" width="16" customWidth="1"/>
  </cols>
  <sheetData>
    <row r="1" spans="2:67" ht="3.9" customHeight="1"/>
    <row r="2" spans="2:67" ht="33" customHeight="1">
      <c r="E2" t="str">
        <f ca="1">Inputs!G21</f>
        <v>Businessrate 1</v>
      </c>
      <c r="F2">
        <f ca="1">MATCH(E2,Full_Tariff_List,0)</f>
        <v>1</v>
      </c>
    </row>
    <row r="3" spans="2:67" ht="3.9" customHeight="1"/>
    <row r="4" spans="2:67" ht="15">
      <c r="B4" s="1" t="s">
        <v>198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</row>
    <row r="6" spans="2:67" ht="39.6">
      <c r="B6" s="36" t="s">
        <v>28</v>
      </c>
      <c r="C6" s="26"/>
      <c r="D6" s="26"/>
      <c r="E6" s="35" t="str">
        <f ca="1">E2</f>
        <v>Businessrate 1</v>
      </c>
      <c r="F6" s="35" t="str">
        <f t="shared" ref="F6:AI6" si="0">INDEX(Full_Tariff_List,F$7,)</f>
        <v>Businessrate 1</v>
      </c>
      <c r="G6" s="35" t="str">
        <f t="shared" si="0"/>
        <v>Businessrate 2</v>
      </c>
      <c r="H6" s="35" t="str">
        <f t="shared" si="0"/>
        <v>Businessrate 3</v>
      </c>
      <c r="I6" s="35" t="str">
        <f t="shared" si="0"/>
        <v>Businessrate 4</v>
      </c>
      <c r="J6" s="35" t="str">
        <f t="shared" si="0"/>
        <v>Homelight 20A</v>
      </c>
      <c r="K6" s="35" t="str">
        <f t="shared" si="0"/>
        <v>Homelight 60A</v>
      </c>
      <c r="L6" s="35" t="str">
        <f t="shared" si="0"/>
        <v>Homepower 1</v>
      </c>
      <c r="M6" s="35" t="str">
        <f t="shared" si="0"/>
        <v>Homepower 2</v>
      </c>
      <c r="N6" s="35" t="str">
        <f t="shared" si="0"/>
        <v>Homepower 3</v>
      </c>
      <c r="O6" s="35" t="str">
        <f t="shared" si="0"/>
        <v>Homepower 4</v>
      </c>
      <c r="P6" s="35" t="str">
        <f t="shared" si="0"/>
        <v>Homepower Bulk</v>
      </c>
      <c r="Q6" s="35" t="str">
        <f t="shared" si="0"/>
        <v>Landrate 1</v>
      </c>
      <c r="R6" s="35" t="str">
        <f t="shared" si="0"/>
        <v>Landrate 2</v>
      </c>
      <c r="S6" s="35" t="str">
        <f t="shared" si="0"/>
        <v>Landrate 3</v>
      </c>
      <c r="T6" s="35" t="str">
        <f t="shared" si="0"/>
        <v>Landrate 4</v>
      </c>
      <c r="U6" s="35" t="str">
        <f t="shared" si="0"/>
        <v>Landrate Dx</v>
      </c>
      <c r="V6" s="35" t="str">
        <f t="shared" si="0"/>
        <v>Landlight 20A</v>
      </c>
      <c r="W6" s="35" t="str">
        <f t="shared" si="0"/>
        <v>Landlight 60A</v>
      </c>
      <c r="X6" s="35" t="str">
        <f t="shared" si="0"/>
        <v>Public Lighting All Night</v>
      </c>
      <c r="Y6" s="35" t="str">
        <f t="shared" si="0"/>
        <v>Public Lighting 24 Hours</v>
      </c>
      <c r="Z6" s="35" t="str">
        <f t="shared" si="0"/>
        <v>Public Lighting Urban Fixed</v>
      </c>
      <c r="AA6" s="35" t="str">
        <f t="shared" si="0"/>
        <v>Municflex</v>
      </c>
      <c r="AB6" s="35" t="str">
        <f t="shared" si="0"/>
        <v>Municrate 1</v>
      </c>
      <c r="AC6" s="35" t="str">
        <f t="shared" si="0"/>
        <v>Municrate 2</v>
      </c>
      <c r="AD6" s="35" t="str">
        <f t="shared" si="0"/>
        <v>Municrate 3</v>
      </c>
      <c r="AE6" s="35" t="str">
        <f t="shared" si="0"/>
        <v>Municrate 4</v>
      </c>
      <c r="AF6" s="35" t="str">
        <f t="shared" si="0"/>
        <v>Homeflex 1</v>
      </c>
      <c r="AG6" s="35" t="str">
        <f t="shared" si="0"/>
        <v>Homeflex 2</v>
      </c>
      <c r="AH6" s="35" t="str">
        <f t="shared" si="0"/>
        <v>Homeflex 3</v>
      </c>
      <c r="AI6" s="35" t="str">
        <f t="shared" si="0"/>
        <v>Homeflex 4</v>
      </c>
      <c r="AK6" s="35" t="str">
        <f ca="1">Selected_Base_Tariff</f>
        <v>Businessrate 1</v>
      </c>
      <c r="AL6" s="35" t="str">
        <f t="shared" ref="AK6:AT7" si="1">F6</f>
        <v>Businessrate 1</v>
      </c>
      <c r="AM6" s="35" t="str">
        <f t="shared" si="1"/>
        <v>Businessrate 2</v>
      </c>
      <c r="AN6" s="35" t="str">
        <f t="shared" si="1"/>
        <v>Businessrate 3</v>
      </c>
      <c r="AO6" s="35" t="str">
        <f t="shared" si="1"/>
        <v>Businessrate 4</v>
      </c>
      <c r="AP6" s="35" t="str">
        <f t="shared" si="1"/>
        <v>Homelight 20A</v>
      </c>
      <c r="AQ6" s="35" t="str">
        <f t="shared" si="1"/>
        <v>Homelight 60A</v>
      </c>
      <c r="AR6" s="35" t="str">
        <f t="shared" si="1"/>
        <v>Homepower 1</v>
      </c>
      <c r="AS6" s="35" t="str">
        <f t="shared" si="1"/>
        <v>Homepower 2</v>
      </c>
      <c r="AT6" s="35" t="str">
        <f t="shared" si="1"/>
        <v>Homepower 3</v>
      </c>
      <c r="AU6" s="35" t="str">
        <f t="shared" ref="AU6:BD7" si="2">O6</f>
        <v>Homepower 4</v>
      </c>
      <c r="AV6" s="35" t="str">
        <f t="shared" si="2"/>
        <v>Homepower Bulk</v>
      </c>
      <c r="AW6" s="35" t="str">
        <f t="shared" si="2"/>
        <v>Landrate 1</v>
      </c>
      <c r="AX6" s="35" t="str">
        <f t="shared" si="2"/>
        <v>Landrate 2</v>
      </c>
      <c r="AY6" s="35" t="str">
        <f t="shared" si="2"/>
        <v>Landrate 3</v>
      </c>
      <c r="AZ6" s="35" t="str">
        <f t="shared" si="2"/>
        <v>Landrate 4</v>
      </c>
      <c r="BA6" s="35" t="str">
        <f t="shared" si="2"/>
        <v>Landrate Dx</v>
      </c>
      <c r="BB6" s="35" t="str">
        <f t="shared" si="2"/>
        <v>Landlight 20A</v>
      </c>
      <c r="BC6" s="35" t="str">
        <f t="shared" si="2"/>
        <v>Landlight 60A</v>
      </c>
      <c r="BD6" s="35" t="str">
        <f t="shared" si="2"/>
        <v>Public Lighting All Night</v>
      </c>
      <c r="BE6" s="35" t="str">
        <f t="shared" ref="BE6:BF7" si="3">Y6</f>
        <v>Public Lighting 24 Hours</v>
      </c>
      <c r="BF6" s="35" t="str">
        <f t="shared" si="3"/>
        <v>Public Lighting Urban Fixed</v>
      </c>
      <c r="BG6" s="35" t="str">
        <f t="shared" ref="BG6:BK6" si="4">AA6</f>
        <v>Municflex</v>
      </c>
      <c r="BH6" s="35" t="str">
        <f t="shared" si="4"/>
        <v>Municrate 1</v>
      </c>
      <c r="BI6" s="35" t="str">
        <f t="shared" si="4"/>
        <v>Municrate 2</v>
      </c>
      <c r="BJ6" s="35" t="str">
        <f t="shared" si="4"/>
        <v>Municrate 3</v>
      </c>
      <c r="BK6" s="35" t="str">
        <f t="shared" si="4"/>
        <v>Municrate 4</v>
      </c>
      <c r="BL6" s="35" t="str">
        <f t="shared" ref="BL6:BO7" si="5">AF6</f>
        <v>Homeflex 1</v>
      </c>
      <c r="BM6" s="35" t="str">
        <f t="shared" si="5"/>
        <v>Homeflex 2</v>
      </c>
      <c r="BN6" s="35" t="str">
        <f t="shared" si="5"/>
        <v>Homeflex 3</v>
      </c>
      <c r="BO6" s="35" t="str">
        <f t="shared" si="5"/>
        <v>Homeflex 4</v>
      </c>
    </row>
    <row r="7" spans="2:67">
      <c r="E7">
        <f ca="1">F2</f>
        <v>1</v>
      </c>
      <c r="F7">
        <v>1</v>
      </c>
      <c r="G7">
        <f>F7+1</f>
        <v>2</v>
      </c>
      <c r="H7">
        <f t="shared" ref="H7:Z7" si="6">G7+1</f>
        <v>3</v>
      </c>
      <c r="I7">
        <f t="shared" si="6"/>
        <v>4</v>
      </c>
      <c r="J7">
        <f t="shared" si="6"/>
        <v>5</v>
      </c>
      <c r="K7">
        <f t="shared" si="6"/>
        <v>6</v>
      </c>
      <c r="L7">
        <f t="shared" si="6"/>
        <v>7</v>
      </c>
      <c r="M7">
        <f t="shared" si="6"/>
        <v>8</v>
      </c>
      <c r="N7">
        <f t="shared" si="6"/>
        <v>9</v>
      </c>
      <c r="O7">
        <f t="shared" si="6"/>
        <v>10</v>
      </c>
      <c r="P7">
        <f t="shared" si="6"/>
        <v>11</v>
      </c>
      <c r="Q7">
        <f t="shared" si="6"/>
        <v>12</v>
      </c>
      <c r="R7">
        <f t="shared" si="6"/>
        <v>13</v>
      </c>
      <c r="S7">
        <f t="shared" si="6"/>
        <v>14</v>
      </c>
      <c r="T7">
        <f t="shared" si="6"/>
        <v>15</v>
      </c>
      <c r="U7">
        <f t="shared" si="6"/>
        <v>16</v>
      </c>
      <c r="V7">
        <f t="shared" si="6"/>
        <v>17</v>
      </c>
      <c r="W7">
        <f t="shared" si="6"/>
        <v>18</v>
      </c>
      <c r="X7">
        <f t="shared" si="6"/>
        <v>19</v>
      </c>
      <c r="Y7">
        <f t="shared" si="6"/>
        <v>20</v>
      </c>
      <c r="Z7">
        <f t="shared" si="6"/>
        <v>21</v>
      </c>
      <c r="AA7">
        <v>28</v>
      </c>
      <c r="AB7">
        <f t="shared" ref="AB7" si="7">AA7+1</f>
        <v>29</v>
      </c>
      <c r="AC7">
        <f t="shared" ref="AC7" si="8">AB7+1</f>
        <v>30</v>
      </c>
      <c r="AD7">
        <f t="shared" ref="AD7" si="9">AC7+1</f>
        <v>31</v>
      </c>
      <c r="AE7">
        <f t="shared" ref="AE7" si="10">AD7+1</f>
        <v>32</v>
      </c>
      <c r="AF7">
        <v>33</v>
      </c>
      <c r="AG7">
        <f>AF7+1</f>
        <v>34</v>
      </c>
      <c r="AH7">
        <f>AG7+1</f>
        <v>35</v>
      </c>
      <c r="AI7">
        <f>AH7+1</f>
        <v>36</v>
      </c>
      <c r="AK7">
        <f t="shared" ca="1" si="1"/>
        <v>1</v>
      </c>
      <c r="AL7">
        <f t="shared" si="1"/>
        <v>1</v>
      </c>
      <c r="AM7">
        <f t="shared" si="1"/>
        <v>2</v>
      </c>
      <c r="AN7">
        <f t="shared" si="1"/>
        <v>3</v>
      </c>
      <c r="AO7">
        <f t="shared" si="1"/>
        <v>4</v>
      </c>
      <c r="AP7">
        <f t="shared" si="1"/>
        <v>5</v>
      </c>
      <c r="AQ7">
        <f t="shared" si="1"/>
        <v>6</v>
      </c>
      <c r="AR7">
        <f t="shared" si="1"/>
        <v>7</v>
      </c>
      <c r="AS7">
        <f t="shared" si="1"/>
        <v>8</v>
      </c>
      <c r="AT7">
        <f t="shared" si="1"/>
        <v>9</v>
      </c>
      <c r="AU7">
        <f t="shared" si="2"/>
        <v>10</v>
      </c>
      <c r="AV7">
        <f t="shared" si="2"/>
        <v>11</v>
      </c>
      <c r="AW7">
        <f t="shared" si="2"/>
        <v>12</v>
      </c>
      <c r="AX7">
        <f t="shared" si="2"/>
        <v>13</v>
      </c>
      <c r="AY7">
        <f t="shared" si="2"/>
        <v>14</v>
      </c>
      <c r="AZ7">
        <f t="shared" si="2"/>
        <v>15</v>
      </c>
      <c r="BA7">
        <f t="shared" si="2"/>
        <v>16</v>
      </c>
      <c r="BB7">
        <f t="shared" si="2"/>
        <v>17</v>
      </c>
      <c r="BC7">
        <f t="shared" si="2"/>
        <v>18</v>
      </c>
      <c r="BD7">
        <f t="shared" si="2"/>
        <v>19</v>
      </c>
      <c r="BE7">
        <f t="shared" si="3"/>
        <v>20</v>
      </c>
      <c r="BF7">
        <f t="shared" si="3"/>
        <v>21</v>
      </c>
      <c r="BG7">
        <v>28</v>
      </c>
      <c r="BH7">
        <f>BG7+1</f>
        <v>29</v>
      </c>
      <c r="BI7">
        <f t="shared" ref="BI7:BK7" si="11">BH7+1</f>
        <v>30</v>
      </c>
      <c r="BJ7">
        <f t="shared" si="11"/>
        <v>31</v>
      </c>
      <c r="BK7">
        <f t="shared" si="11"/>
        <v>32</v>
      </c>
      <c r="BL7">
        <f t="shared" si="5"/>
        <v>33</v>
      </c>
      <c r="BM7">
        <f t="shared" si="5"/>
        <v>34</v>
      </c>
      <c r="BN7">
        <f t="shared" si="5"/>
        <v>35</v>
      </c>
      <c r="BO7">
        <f t="shared" si="5"/>
        <v>36</v>
      </c>
    </row>
    <row r="8" spans="2:67" ht="22.8">
      <c r="B8" s="17" t="s">
        <v>76</v>
      </c>
      <c r="C8" s="17"/>
      <c r="D8" s="16" t="s">
        <v>81</v>
      </c>
      <c r="E8" s="16" t="str">
        <f>Current_Period&amp;" Rates"</f>
        <v>2025/26 Rates</v>
      </c>
      <c r="F8" s="16" t="str">
        <f>E8</f>
        <v>2025/26 Rates</v>
      </c>
      <c r="G8" s="16" t="str">
        <f t="shared" ref="G8:AI8" si="12">F8</f>
        <v>2025/26 Rates</v>
      </c>
      <c r="H8" s="16" t="str">
        <f t="shared" si="12"/>
        <v>2025/26 Rates</v>
      </c>
      <c r="I8" s="16" t="str">
        <f t="shared" si="12"/>
        <v>2025/26 Rates</v>
      </c>
      <c r="J8" s="16" t="str">
        <f t="shared" si="12"/>
        <v>2025/26 Rates</v>
      </c>
      <c r="K8" s="16" t="str">
        <f t="shared" si="12"/>
        <v>2025/26 Rates</v>
      </c>
      <c r="L8" s="16" t="str">
        <f t="shared" si="12"/>
        <v>2025/26 Rates</v>
      </c>
      <c r="M8" s="16" t="str">
        <f t="shared" si="12"/>
        <v>2025/26 Rates</v>
      </c>
      <c r="N8" s="16" t="str">
        <f t="shared" si="12"/>
        <v>2025/26 Rates</v>
      </c>
      <c r="O8" s="16" t="str">
        <f t="shared" si="12"/>
        <v>2025/26 Rates</v>
      </c>
      <c r="P8" s="16" t="str">
        <f t="shared" si="12"/>
        <v>2025/26 Rates</v>
      </c>
      <c r="Q8" s="16" t="str">
        <f t="shared" si="12"/>
        <v>2025/26 Rates</v>
      </c>
      <c r="R8" s="16" t="str">
        <f t="shared" si="12"/>
        <v>2025/26 Rates</v>
      </c>
      <c r="S8" s="16" t="str">
        <f t="shared" si="12"/>
        <v>2025/26 Rates</v>
      </c>
      <c r="T8" s="16" t="str">
        <f t="shared" si="12"/>
        <v>2025/26 Rates</v>
      </c>
      <c r="U8" s="16" t="str">
        <f t="shared" si="12"/>
        <v>2025/26 Rates</v>
      </c>
      <c r="V8" s="16" t="str">
        <f t="shared" si="12"/>
        <v>2025/26 Rates</v>
      </c>
      <c r="W8" s="16" t="str">
        <f t="shared" si="12"/>
        <v>2025/26 Rates</v>
      </c>
      <c r="X8" s="16" t="str">
        <f t="shared" si="12"/>
        <v>2025/26 Rates</v>
      </c>
      <c r="Y8" s="16" t="str">
        <f t="shared" si="12"/>
        <v>2025/26 Rates</v>
      </c>
      <c r="Z8" s="16" t="str">
        <f t="shared" si="12"/>
        <v>2025/26 Rates</v>
      </c>
      <c r="AA8" s="16" t="str">
        <f t="shared" si="12"/>
        <v>2025/26 Rates</v>
      </c>
      <c r="AB8" s="16" t="str">
        <f>AA8</f>
        <v>2025/26 Rates</v>
      </c>
      <c r="AC8" s="16" t="str">
        <f t="shared" ref="AC8" si="13">AB8</f>
        <v>2025/26 Rates</v>
      </c>
      <c r="AD8" s="16" t="str">
        <f t="shared" ref="AD8" si="14">AC8</f>
        <v>2025/26 Rates</v>
      </c>
      <c r="AE8" s="16" t="str">
        <f t="shared" ref="AE8" si="15">AD8</f>
        <v>2025/26 Rates</v>
      </c>
      <c r="AF8" s="16" t="str">
        <f>Y8</f>
        <v>2025/26 Rates</v>
      </c>
      <c r="AG8" s="16" t="str">
        <f t="shared" si="12"/>
        <v>2025/26 Rates</v>
      </c>
      <c r="AH8" s="16" t="str">
        <f t="shared" si="12"/>
        <v>2025/26 Rates</v>
      </c>
      <c r="AI8" s="16" t="str">
        <f t="shared" si="12"/>
        <v>2025/26 Rates</v>
      </c>
      <c r="AK8" s="16" t="str">
        <f>New_Period&amp;" Rates"</f>
        <v>2026/27 Rates</v>
      </c>
      <c r="AL8" s="16" t="str">
        <f>AK8</f>
        <v>2026/27 Rates</v>
      </c>
      <c r="AM8" s="16" t="str">
        <f t="shared" ref="AM8:BO8" si="16">AL8</f>
        <v>2026/27 Rates</v>
      </c>
      <c r="AN8" s="16" t="str">
        <f t="shared" si="16"/>
        <v>2026/27 Rates</v>
      </c>
      <c r="AO8" s="16" t="str">
        <f t="shared" si="16"/>
        <v>2026/27 Rates</v>
      </c>
      <c r="AP8" s="16" t="str">
        <f t="shared" si="16"/>
        <v>2026/27 Rates</v>
      </c>
      <c r="AQ8" s="16" t="str">
        <f t="shared" si="16"/>
        <v>2026/27 Rates</v>
      </c>
      <c r="AR8" s="16" t="str">
        <f t="shared" si="16"/>
        <v>2026/27 Rates</v>
      </c>
      <c r="AS8" s="16" t="str">
        <f t="shared" si="16"/>
        <v>2026/27 Rates</v>
      </c>
      <c r="AT8" s="16" t="str">
        <f t="shared" si="16"/>
        <v>2026/27 Rates</v>
      </c>
      <c r="AU8" s="16" t="str">
        <f t="shared" si="16"/>
        <v>2026/27 Rates</v>
      </c>
      <c r="AV8" s="16" t="str">
        <f t="shared" si="16"/>
        <v>2026/27 Rates</v>
      </c>
      <c r="AW8" s="16" t="str">
        <f t="shared" si="16"/>
        <v>2026/27 Rates</v>
      </c>
      <c r="AX8" s="16" t="str">
        <f t="shared" si="16"/>
        <v>2026/27 Rates</v>
      </c>
      <c r="AY8" s="16" t="str">
        <f t="shared" si="16"/>
        <v>2026/27 Rates</v>
      </c>
      <c r="AZ8" s="16" t="str">
        <f t="shared" si="16"/>
        <v>2026/27 Rates</v>
      </c>
      <c r="BA8" s="16" t="str">
        <f t="shared" si="16"/>
        <v>2026/27 Rates</v>
      </c>
      <c r="BB8" s="16" t="str">
        <f t="shared" si="16"/>
        <v>2026/27 Rates</v>
      </c>
      <c r="BC8" s="16" t="str">
        <f t="shared" si="16"/>
        <v>2026/27 Rates</v>
      </c>
      <c r="BD8" s="16" t="str">
        <f t="shared" si="16"/>
        <v>2026/27 Rates</v>
      </c>
      <c r="BE8" s="16" t="str">
        <f t="shared" si="16"/>
        <v>2026/27 Rates</v>
      </c>
      <c r="BF8" s="16" t="str">
        <f t="shared" si="16"/>
        <v>2026/27 Rates</v>
      </c>
      <c r="BG8" s="16" t="str">
        <f t="shared" si="16"/>
        <v>2026/27 Rates</v>
      </c>
      <c r="BH8" s="16" t="str">
        <f>BG8</f>
        <v>2026/27 Rates</v>
      </c>
      <c r="BI8" s="16" t="str">
        <f t="shared" ref="BI8" si="17">BH8</f>
        <v>2026/27 Rates</v>
      </c>
      <c r="BJ8" s="16" t="str">
        <f t="shared" ref="BJ8" si="18">BI8</f>
        <v>2026/27 Rates</v>
      </c>
      <c r="BK8" s="16" t="str">
        <f t="shared" ref="BK8" si="19">BJ8</f>
        <v>2026/27 Rates</v>
      </c>
      <c r="BL8" s="16" t="str">
        <f>BE8</f>
        <v>2026/27 Rates</v>
      </c>
      <c r="BM8" s="16" t="str">
        <f t="shared" si="16"/>
        <v>2026/27 Rates</v>
      </c>
      <c r="BN8" s="16" t="str">
        <f t="shared" si="16"/>
        <v>2026/27 Rates</v>
      </c>
      <c r="BO8" s="16" t="str">
        <f t="shared" si="16"/>
        <v>2026/27 Rates</v>
      </c>
    </row>
    <row r="9" spans="2:67" ht="3.9" customHeight="1"/>
    <row r="10" spans="2:67" ht="12.6" customHeight="1">
      <c r="C10" t="s">
        <v>75</v>
      </c>
      <c r="D10" s="21" t="s">
        <v>80</v>
      </c>
      <c r="E10" s="43">
        <f ca="1">SUMIFS(F10:AI10,$F$7:$AI$7,$F$2)</f>
        <v>0</v>
      </c>
      <c r="F10" s="4">
        <f>IFERROR('Rates Table'!F10*SPU_Annual_Total_Energy,0)/100</f>
        <v>0</v>
      </c>
      <c r="G10" s="4">
        <f>IFERROR('Rates Table'!G10*SPU_Annual_Total_Energy,0)/100</f>
        <v>0</v>
      </c>
      <c r="H10" s="4">
        <f>IFERROR('Rates Table'!H10*SPU_Annual_Total_Energy,0)/100</f>
        <v>0</v>
      </c>
      <c r="I10" s="4">
        <f>IFERROR('Rates Table'!I10*SPU_Annual_Total_Energy,0)/100</f>
        <v>0</v>
      </c>
      <c r="J10" s="4">
        <f>IFERROR('Rates Table'!J10*SPU_Annual_Total_Energy,0)/100</f>
        <v>0</v>
      </c>
      <c r="K10" s="4">
        <f>IFERROR('Rates Table'!K10*SPU_Annual_Total_Energy,0)/100</f>
        <v>0</v>
      </c>
      <c r="L10" s="4">
        <f>IFERROR('Rates Table'!L10*SPU_Annual_Total_Energy,0)/100</f>
        <v>0</v>
      </c>
      <c r="M10" s="4">
        <f>IFERROR('Rates Table'!M10*SPU_Annual_Total_Energy,0)/100</f>
        <v>0</v>
      </c>
      <c r="N10" s="4">
        <f>IFERROR('Rates Table'!N10*SPU_Annual_Total_Energy,0)/100</f>
        <v>0</v>
      </c>
      <c r="O10" s="4">
        <f>IFERROR('Rates Table'!O10*SPU_Annual_Total_Energy,0)/100</f>
        <v>0</v>
      </c>
      <c r="P10" s="4">
        <f>IFERROR('Rates Table'!P10*SPU_Annual_Total_Energy,0)/100</f>
        <v>0</v>
      </c>
      <c r="Q10" s="4">
        <f>IFERROR('Rates Table'!Q10*SPU_Annual_Total_Energy,0)/100</f>
        <v>0</v>
      </c>
      <c r="R10" s="4">
        <f>IFERROR('Rates Table'!R10*SPU_Annual_Total_Energy,0)/100</f>
        <v>0</v>
      </c>
      <c r="S10" s="4">
        <f>IFERROR('Rates Table'!S10*SPU_Annual_Total_Energy,0)/100</f>
        <v>0</v>
      </c>
      <c r="T10" s="4">
        <f>IFERROR('Rates Table'!T10*SPU_Annual_Total_Energy,0)/100</f>
        <v>0</v>
      </c>
      <c r="U10" s="4">
        <f>IFERROR('Rates Table'!U10*SPU_Annual_Total_Energy,0)/100</f>
        <v>0</v>
      </c>
      <c r="V10" s="4">
        <f>IFERROR('Rates Table'!V10*SPU_Annual_Total_Energy,0)/100</f>
        <v>0</v>
      </c>
      <c r="W10" s="4">
        <f>IFERROR('Rates Table'!W10*SPU_Annual_Total_Energy,0)/100</f>
        <v>0</v>
      </c>
      <c r="X10" s="4">
        <f>IFERROR('Rates Table'!X10*SPU_Annual_Total_Energy,0)/100</f>
        <v>0</v>
      </c>
      <c r="Y10" s="4">
        <f>IFERROR('Rates Table'!Y10*SPU_Annual_Total_Energy,0)/100</f>
        <v>0</v>
      </c>
      <c r="Z10" s="4">
        <f>IFERROR('Rates Table'!Z10*SPU_Annual_Total_Energy,0)/100</f>
        <v>0</v>
      </c>
      <c r="AA10" s="4"/>
      <c r="AB10" s="4">
        <f>IFERROR('Rates Table'!AB10*SPU_Annual_Total_Energy,0)/100</f>
        <v>0</v>
      </c>
      <c r="AC10" s="4">
        <f>IFERROR('Rates Table'!AC10*SPU_Annual_Total_Energy,0)/100</f>
        <v>0</v>
      </c>
      <c r="AD10" s="4">
        <f>IFERROR('Rates Table'!AD10*SPU_Annual_Total_Energy,0)/100</f>
        <v>0</v>
      </c>
      <c r="AE10" s="4">
        <f>IFERROR('Rates Table'!AF10*SPU_Annual_Total_Energy,0)/100</f>
        <v>0</v>
      </c>
      <c r="AF10" s="4">
        <f>IFERROR('Rates Table'!AF10*SPU_Annual_Total_Energy,0)/100</f>
        <v>0</v>
      </c>
      <c r="AG10" s="4">
        <f>IFERROR('Rates Table'!AG10*SPU_Annual_Total_Energy,0)/100</f>
        <v>0</v>
      </c>
      <c r="AH10" s="4">
        <f>IFERROR('Rates Table'!AH10*SPU_Annual_Total_Energy,0)/100</f>
        <v>0</v>
      </c>
      <c r="AI10" s="4">
        <f>IFERROR('Rates Table'!AI10*SPU_Annual_Total_Energy,0)/100</f>
        <v>0</v>
      </c>
      <c r="AK10" s="43">
        <f ca="1">SUMIFS(AL10:BO10,$F$7:$AI$7,Selected_Tariff_ID)</f>
        <v>0</v>
      </c>
      <c r="AL10" s="4">
        <f>IFERROR('Rates Table'!AL10*SPU_Annual_Total_Energy,0)/100</f>
        <v>0</v>
      </c>
      <c r="AM10" s="4">
        <f>IFERROR('Rates Table'!AM10*SPU_Annual_Total_Energy,0)/100</f>
        <v>0</v>
      </c>
      <c r="AN10" s="4">
        <f>IFERROR('Rates Table'!AN10*SPU_Annual_Total_Energy,0)/100</f>
        <v>0</v>
      </c>
      <c r="AO10" s="4">
        <f>IFERROR('Rates Table'!AO10*SPU_Annual_Total_Energy,0)/100</f>
        <v>0</v>
      </c>
      <c r="AP10" s="4">
        <f>IFERROR('Rates Table'!AP10*SPU_Annual_Total_Energy,0)/100</f>
        <v>0</v>
      </c>
      <c r="AQ10" s="4">
        <f>IFERROR('Rates Table'!AQ10*SPU_Annual_Total_Energy,0)/100</f>
        <v>0</v>
      </c>
      <c r="AR10" s="4">
        <f>IFERROR('Rates Table'!AR10*SPU_Annual_Total_Energy,0)/100</f>
        <v>0</v>
      </c>
      <c r="AS10" s="4">
        <f>IFERROR('Rates Table'!AS10*SPU_Annual_Total_Energy,0)/100</f>
        <v>0</v>
      </c>
      <c r="AT10" s="4">
        <f>IFERROR('Rates Table'!AT10*SPU_Annual_Total_Energy,0)/100</f>
        <v>0</v>
      </c>
      <c r="AU10" s="4">
        <f>IFERROR('Rates Table'!AU10*SPU_Annual_Total_Energy,0)/100</f>
        <v>0</v>
      </c>
      <c r="AV10" s="4">
        <f>IFERROR('Rates Table'!AV10*SPU_Annual_Total_Energy,0)/100</f>
        <v>0</v>
      </c>
      <c r="AW10" s="4">
        <f>IFERROR('Rates Table'!AW10*SPU_Annual_Total_Energy,0)/100</f>
        <v>0</v>
      </c>
      <c r="AX10" s="4">
        <f>IFERROR('Rates Table'!AX10*SPU_Annual_Total_Energy,0)/100</f>
        <v>0</v>
      </c>
      <c r="AY10" s="4">
        <f>IFERROR('Rates Table'!AY10*SPU_Annual_Total_Energy,0)/100</f>
        <v>0</v>
      </c>
      <c r="AZ10" s="4">
        <f>IFERROR('Rates Table'!AZ10*SPU_Annual_Total_Energy,0)/100</f>
        <v>0</v>
      </c>
      <c r="BA10" s="4">
        <f>IFERROR('Rates Table'!BA10*SPU_Annual_Total_Energy,0)/100</f>
        <v>0</v>
      </c>
      <c r="BB10" s="4">
        <f>IFERROR('Rates Table'!BB10*SPU_Annual_Total_Energy,0)/100</f>
        <v>0</v>
      </c>
      <c r="BC10" s="4">
        <f>IFERROR('Rates Table'!BC10*SPU_Annual_Total_Energy,0)/100</f>
        <v>0</v>
      </c>
      <c r="BD10" s="4">
        <f>IFERROR('Rates Table'!BD10*SPU_Annual_Total_Energy,0)/100</f>
        <v>0</v>
      </c>
      <c r="BE10" s="4">
        <f>IFERROR('Rates Table'!BE10*SPU_Annual_Total_Energy,0)/100</f>
        <v>0</v>
      </c>
      <c r="BF10" s="4">
        <f>IFERROR('Rates Table'!BF10*SPU_Annual_Total_Energy,0)/100</f>
        <v>0</v>
      </c>
      <c r="BG10" s="4"/>
      <c r="BH10" s="4">
        <f>IFERROR('Rates Table'!BH10*SPU_Annual_Total_Energy,0)/100</f>
        <v>0</v>
      </c>
      <c r="BI10" s="4">
        <f>IFERROR('Rates Table'!BI10*SPU_Annual_Total_Energy,0)/100</f>
        <v>0</v>
      </c>
      <c r="BJ10" s="4">
        <f>IFERROR('Rates Table'!BJ10*SPU_Annual_Total_Energy,0)/100</f>
        <v>0</v>
      </c>
      <c r="BK10" s="4">
        <f>IFERROR('Rates Table'!BK10*SPU_Annual_Total_Energy,0)/100</f>
        <v>0</v>
      </c>
      <c r="BL10" s="4">
        <f>IFERROR('Rates Table'!BL10*Homeflex_Total_Energy,0)/100</f>
        <v>0</v>
      </c>
      <c r="BM10" s="4">
        <f>IFERROR('Rates Table'!BM10*Homeflex_Total_Energy,0)/100</f>
        <v>0</v>
      </c>
      <c r="BN10" s="4">
        <f>IFERROR('Rates Table'!BN10*Homeflex_Total_Energy,0)/100</f>
        <v>0</v>
      </c>
      <c r="BO10" s="4">
        <f>IFERROR('Rates Table'!BO10*Homeflex_Total_Energy,0)/100</f>
        <v>0</v>
      </c>
    </row>
    <row r="11" spans="2:67" ht="22.2" customHeight="1">
      <c r="C11" s="133" t="s">
        <v>331</v>
      </c>
      <c r="D11" s="21" t="s">
        <v>80</v>
      </c>
      <c r="E11" s="43">
        <f ca="1">SUMIFS(F11:AI11,$F$7:$AI$7,$F$2)</f>
        <v>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>
        <f>IFERROR('Rates Table'!AF11*SPU_Annual_Total_Energy,0)/100</f>
        <v>0</v>
      </c>
      <c r="AG11" s="4">
        <f>IFERROR('Rates Table'!AG11*SPU_Annual_Total_Energy,0)/100</f>
        <v>0</v>
      </c>
      <c r="AH11" s="4">
        <f>IFERROR('Rates Table'!AH11*SPU_Annual_Total_Energy,0)/100</f>
        <v>0</v>
      </c>
      <c r="AI11" s="4">
        <f>IFERROR('Rates Table'!AI11*SPU_Annual_Total_Energy,0)/100</f>
        <v>0</v>
      </c>
      <c r="AK11" s="43">
        <f ca="1">SUMIFS(AL11:BO11,$F$7:$AI$7,Selected_Tariff_ID)</f>
        <v>0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>
        <f>IFERROR('Rates Table'!BL11*Homeflex_Total_Energy,0)/100</f>
        <v>0</v>
      </c>
      <c r="BM11" s="4">
        <f>IFERROR('Rates Table'!BM11*Homeflex_Total_Energy,0)/100</f>
        <v>0</v>
      </c>
      <c r="BN11" s="4">
        <f>IFERROR('Rates Table'!BN11*Homeflex_Total_Energy,0)/100</f>
        <v>0</v>
      </c>
      <c r="BO11" s="4">
        <f>IFERROR('Rates Table'!BO11*Homeflex_Total_Energy,0)/100</f>
        <v>0</v>
      </c>
    </row>
    <row r="12" spans="2:67">
      <c r="C12" t="s">
        <v>254</v>
      </c>
      <c r="D12" s="21" t="str">
        <f ca="1">IF(Table_1=1,"R/kVA","R/day")</f>
        <v>R/day</v>
      </c>
      <c r="E12" s="43">
        <f ca="1">SUMIFS(F12:AI12,$F$7:$AI$7,$F$2)</f>
        <v>618.67500000000007</v>
      </c>
      <c r="F12" s="4">
        <f ca="1">IFERROR('Rates Table'!F12*IF($E$2="Homepower Bulk",Inputs!$H$27,PODs*ESKOM_Total_days),0)</f>
        <v>618.67500000000007</v>
      </c>
      <c r="G12" s="4">
        <f ca="1">IFERROR('Rates Table'!G12*IF($E$2="Homepower Bulk",Inputs!$H$27,PODs*ESKOM_Total_days),0)</f>
        <v>918.88750000000005</v>
      </c>
      <c r="H12" s="4">
        <f ca="1">IFERROR('Rates Table'!H12*IF($E$2="Homepower Bulk",Inputs!$H$27,PODs*ESKOM_Total_days),0)</f>
        <v>2292.8083333333334</v>
      </c>
      <c r="I12" s="4">
        <f ca="1">IFERROR('Rates Table'!I12*IF($E$2="Homepower Bulk",Inputs!$H$27,PODs*ESKOM_Total_days),0)</f>
        <v>0</v>
      </c>
      <c r="J12" s="4">
        <f ca="1">IFERROR('Rates Table'!J12*IF($E$2="Homepower Bulk",Inputs!$H$27,PODs*ESKOM_Total_days),0)</f>
        <v>0</v>
      </c>
      <c r="K12" s="4">
        <f ca="1">IFERROR('Rates Table'!K12*IF($E$2="Homepower Bulk",Inputs!$H$27,PODs*ESKOM_Total_days),0)</f>
        <v>0</v>
      </c>
      <c r="L12" s="4">
        <f ca="1">IFERROR('Rates Table'!L12*IF($E$2="Homepower Bulk",Inputs!$H$27,PODs*ESKOM_Total_days),0)</f>
        <v>368.95416666666671</v>
      </c>
      <c r="M12" s="4">
        <f ca="1">IFERROR('Rates Table'!M12*IF($E$2="Homepower Bulk",Inputs!$H$27,PODs*ESKOM_Total_days),0)</f>
        <v>823.37916666666672</v>
      </c>
      <c r="N12" s="4">
        <f ca="1">IFERROR('Rates Table'!N12*IF($E$2="Homepower Bulk",Inputs!$H$27,PODs*ESKOM_Total_days),0)</f>
        <v>1758.6916666666668</v>
      </c>
      <c r="O12" s="4">
        <f ca="1">IFERROR('Rates Table'!O12*IF($E$2="Homepower Bulk",Inputs!$H$27,PODs*ESKOM_Total_days),0)</f>
        <v>253.97916666666666</v>
      </c>
      <c r="P12" s="4">
        <f ca="1">IFERROR('Rates Table'!P12*IF($E$2="Homepower Bulk",Inputs!$H$27,PODs*ESKOM_Total_days),0)</f>
        <v>1682.65</v>
      </c>
      <c r="Q12" s="4">
        <f ca="1">IFERROR('Rates Table'!Q12*IF($E$2="Homepower Bulk",Inputs!$H$27,PODs*ESKOM_Total_days),0)</f>
        <v>1891.9166666666667</v>
      </c>
      <c r="R12" s="4">
        <f ca="1">IFERROR('Rates Table'!R12*IF($E$2="Homepower Bulk",Inputs!$H$27,PODs*ESKOM_Total_days),0)</f>
        <v>2950.1125000000002</v>
      </c>
      <c r="S12" s="4">
        <f ca="1">IFERROR('Rates Table'!S12*IF($E$2="Homepower Bulk",Inputs!$H$27,PODs*ESKOM_Total_days),0)</f>
        <v>4724.3166666666666</v>
      </c>
      <c r="T12" s="4">
        <f ca="1">IFERROR('Rates Table'!T12*IF($E$2="Homepower Bulk",Inputs!$H$27,PODs*ESKOM_Total_days),0)</f>
        <v>1396.7333333333333</v>
      </c>
      <c r="U12" s="4">
        <f ca="1">IFERROR('Rates Table'!U12*IF($E$2="Homepower Bulk",Inputs!$H$27,PODs*ESKOM_Total_days),0)</f>
        <v>0</v>
      </c>
      <c r="V12" s="4">
        <f ca="1">IFERROR('Rates Table'!V12*IF($E$2="Homepower Bulk",Inputs!$H$27,PODs*ESKOM_Total_days),0)</f>
        <v>0</v>
      </c>
      <c r="W12" s="4">
        <f ca="1">IFERROR('Rates Table'!W12*IF($E$2="Homepower Bulk",Inputs!$H$27,PODs*ESKOM_Total_days),0)</f>
        <v>0</v>
      </c>
      <c r="X12" s="4">
        <f ca="1">IFERROR('Rates Table'!X12*IF($E$2="Homepower Bulk",Inputs!$H$27,PODs*ESKOM_Total_days),0)</f>
        <v>0</v>
      </c>
      <c r="Y12" s="4">
        <f ca="1">IFERROR('Rates Table'!Y12*IF($E$2="Homepower Bulk",Inputs!$H$27,PODs*ESKOM_Total_days),0)</f>
        <v>0</v>
      </c>
      <c r="Z12" s="4">
        <f ca="1">IFERROR('Rates Table'!Z12*IF($E$2="Homepower Bulk",Inputs!$H$27,PODs*ESKOM_Total_days),0)</f>
        <v>0</v>
      </c>
      <c r="AA12" s="4">
        <f ca="1">IFERROR('Rates Table'!AA12*IF($E$2="Homepower Bulk",Inputs!$H$27,PODs*ESKOM_Total_days),0)</f>
        <v>0</v>
      </c>
      <c r="AB12" s="4">
        <f ca="1">IFERROR('Rates Table'!AB12*IF($E$2="Homepower Bulk",Inputs!$H$27,PODs*ESKOM_Total_days),0)</f>
        <v>0</v>
      </c>
      <c r="AC12" s="4">
        <f ca="1">IFERROR('Rates Table'!AC12*IF($E$2="Homepower Bulk",Inputs!$H$27,PODs*ESKOM_Total_days),0)</f>
        <v>0</v>
      </c>
      <c r="AD12" s="4">
        <f ca="1">IFERROR('Rates Table'!AD12*IF($E$2="Homepower Bulk",Inputs!$H$27,PODs*ESKOM_Total_days),0)</f>
        <v>0</v>
      </c>
      <c r="AE12" s="4">
        <f ca="1">IFERROR('Rates Table'!AE12*IF($E$2="Homepower Bulk",Inputs!$H$27,PODs*ESKOM_Total_days),0)</f>
        <v>0</v>
      </c>
      <c r="AF12" s="4">
        <f ca="1">IFERROR('Rates Table'!AF12*IF($E$2="Homepower Bulk",Inputs!$H$27,PODs*ESKOM_Total_days),0)</f>
        <v>368.95416666666671</v>
      </c>
      <c r="AG12" s="4">
        <f ca="1">IFERROR('Rates Table'!AG12*IF($E$2="Homepower Bulk",Inputs!$H$27,PODs*ESKOM_Total_days),0)</f>
        <v>823.37916666666672</v>
      </c>
      <c r="AH12" s="4">
        <f ca="1">IFERROR('Rates Table'!AH12*IF($E$2="Homepower Bulk",Inputs!$H$27,PODs*ESKOM_Total_days),0)</f>
        <v>1758.6916666666668</v>
      </c>
      <c r="AI12" s="4">
        <f ca="1">IFERROR('Rates Table'!AI12*IF($E$2="Homepower Bulk",Inputs!$H$27,PODs*ESKOM_Total_days),0)</f>
        <v>253.97916666666666</v>
      </c>
      <c r="AK12" s="43">
        <f ca="1">SUMIFS(AL12:BO12,$F$7:$AI$7,Selected_Tariff_ID)</f>
        <v>672.81666666666672</v>
      </c>
      <c r="AL12" s="4">
        <f ca="1">IFERROR('Rates Table'!AL12*IF($E$2="Homepower Bulk",Inputs!$H$27,PODs*ESKOM_Total_days),0)</f>
        <v>672.81666666666672</v>
      </c>
      <c r="AM12" s="4">
        <f ca="1">IFERROR('Rates Table'!AM12*IF($E$2="Homepower Bulk",Inputs!$H$27,PODs*ESKOM_Total_days),0)</f>
        <v>999.49166666666667</v>
      </c>
      <c r="AN12" s="4">
        <f ca="1">IFERROR('Rates Table'!AN12*IF($E$2="Homepower Bulk",Inputs!$H$27,PODs*ESKOM_Total_days),0)</f>
        <v>2493.5583333333334</v>
      </c>
      <c r="AO12" s="4">
        <f ca="1">IFERROR('Rates Table'!AO12*IF($E$2="Homepower Bulk",Inputs!$H$27,PODs*ESKOM_Total_days),0)</f>
        <v>0</v>
      </c>
      <c r="AP12" s="4">
        <f ca="1">IFERROR('Rates Table'!AP12*IF($E$2="Homepower Bulk",Inputs!$H$27,PODs*ESKOM_Total_days),0)</f>
        <v>0</v>
      </c>
      <c r="AQ12" s="4">
        <f ca="1">IFERROR('Rates Table'!AQ12*IF($E$2="Homepower Bulk",Inputs!$H$27,PODs*ESKOM_Total_days),0)</f>
        <v>0</v>
      </c>
      <c r="AR12" s="4">
        <f ca="1">IFERROR('Rates Table'!AR12*IF($E$2="Homepower Bulk",Inputs!$H$27,PODs*ESKOM_Total_days),0)</f>
        <v>401.19583333333333</v>
      </c>
      <c r="AS12" s="4">
        <f ca="1">IFERROR('Rates Table'!AS12*IF($E$2="Homepower Bulk",Inputs!$H$27,PODs*ESKOM_Total_days),0)</f>
        <v>895.4666666666667</v>
      </c>
      <c r="AT12" s="4">
        <f ca="1">IFERROR('Rates Table'!AT12*IF($E$2="Homepower Bulk",Inputs!$H$27,PODs*ESKOM_Total_days),0)</f>
        <v>1912.9041666666667</v>
      </c>
      <c r="AU12" s="4">
        <f ca="1">IFERROR('Rates Table'!AU12*IF($E$2="Homepower Bulk",Inputs!$H$27,PODs*ESKOM_Total_days),0)</f>
        <v>276.18333333333334</v>
      </c>
      <c r="AV12" s="4">
        <f ca="1">IFERROR('Rates Table'!AV12*IF($E$2="Homepower Bulk",Inputs!$H$27,PODs*ESKOM_Total_days),0)</f>
        <v>1830.1708333333333</v>
      </c>
      <c r="AW12" s="4">
        <f ca="1">IFERROR('Rates Table'!AW12*IF($E$2="Homepower Bulk",Inputs!$H$27,PODs*ESKOM_Total_days),0)</f>
        <v>2057.6875000000005</v>
      </c>
      <c r="AX12" s="4">
        <f ca="1">IFERROR('Rates Table'!AX12*IF($E$2="Homepower Bulk",Inputs!$H$27,PODs*ESKOM_Total_days),0)</f>
        <v>3208.6541666666667</v>
      </c>
      <c r="AY12" s="4">
        <f ca="1">IFERROR('Rates Table'!AY12*IF($E$2="Homepower Bulk",Inputs!$H$27,PODs*ESKOM_Total_days),0)</f>
        <v>5138.2875000000004</v>
      </c>
      <c r="AZ12" s="4">
        <f ca="1">IFERROR('Rates Table'!AZ12*IF($E$2="Homepower Bulk",Inputs!$H$27,PODs*ESKOM_Total_days),0)</f>
        <v>1519.0083333333332</v>
      </c>
      <c r="BA12" s="4">
        <f ca="1">IFERROR('Rates Table'!BA12*IF($E$2="Homepower Bulk",Inputs!$H$27,PODs*ESKOM_Total_days),0)</f>
        <v>0</v>
      </c>
      <c r="BB12" s="4">
        <f ca="1">IFERROR('Rates Table'!BB12*IF($E$2="Homepower Bulk",Inputs!$H$27,PODs*ESKOM_Total_days),0)</f>
        <v>0</v>
      </c>
      <c r="BC12" s="4">
        <f ca="1">IFERROR('Rates Table'!BC12*IF($E$2="Homepower Bulk",Inputs!$H$27,PODs*ESKOM_Total_days),0)</f>
        <v>0</v>
      </c>
      <c r="BD12" s="4">
        <f ca="1">IFERROR('Rates Table'!BD12*IF($E$2="Homepower Bulk",Inputs!$H$27,PODs*ESKOM_Total_days),0)</f>
        <v>0</v>
      </c>
      <c r="BE12" s="4">
        <f ca="1">IFERROR('Rates Table'!BE12*IF($E$2="Homepower Bulk",Inputs!$H$27,PODs*ESKOM_Total_days),0)</f>
        <v>0</v>
      </c>
      <c r="BF12" s="4">
        <f ca="1">IFERROR('Rates Table'!BF12*IF($E$2="Homepower Bulk",Inputs!$H$27,PODs*ESKOM_Total_days),0)</f>
        <v>0</v>
      </c>
      <c r="BG12" s="4">
        <f ca="1">IFERROR('Rates Table'!BG12*IF($E$2="Homepower Bulk",Inputs!$H$27,PODs*ESKOM_Total_days),0)</f>
        <v>0</v>
      </c>
      <c r="BH12" s="4">
        <f ca="1">IFERROR('Rates Table'!BH12*IF($E$2="Homepower Bulk",Inputs!$H$27,PODs*ESKOM_Total_days),0)</f>
        <v>0</v>
      </c>
      <c r="BI12" s="4">
        <f ca="1">IFERROR('Rates Table'!BI12*IF($E$2="Homepower Bulk",Inputs!$H$27,PODs*ESKOM_Total_days),0)</f>
        <v>0</v>
      </c>
      <c r="BJ12" s="4">
        <f ca="1">IFERROR('Rates Table'!BJ12*IF($E$2="Homepower Bulk",Inputs!$H$27,PODs*ESKOM_Total_days),0)</f>
        <v>0</v>
      </c>
      <c r="BK12" s="4">
        <f ca="1">IFERROR('Rates Table'!BK12*IF($E$2="Homepower Bulk",Inputs!$H$27,PODs*ESKOM_Total_days),0)</f>
        <v>0</v>
      </c>
      <c r="BL12" s="4">
        <f ca="1">IFERROR('Rates Table'!BL12*IF($E$2="Homepower Bulk",Inputs!$H$27,PODs*ESKOM_Total_days),0)</f>
        <v>401.19583333333333</v>
      </c>
      <c r="BM12" s="4">
        <f ca="1">IFERROR('Rates Table'!BM12*IF($E$2="Homepower Bulk",Inputs!$H$27,PODs*ESKOM_Total_days),0)</f>
        <v>895.4666666666667</v>
      </c>
      <c r="BN12" s="4">
        <f ca="1">IFERROR('Rates Table'!BN12*IF($E$2="Homepower Bulk",Inputs!$H$27,PODs*ESKOM_Total_days),0)</f>
        <v>1912.9041666666667</v>
      </c>
      <c r="BO12" s="4">
        <f ca="1">IFERROR('Rates Table'!BO12*IF($E$2="Homepower Bulk",Inputs!$H$27,PODs*ESKOM_Total_days),0)</f>
        <v>276.18333333333334</v>
      </c>
    </row>
    <row r="13" spans="2:67" ht="3.9" customHeight="1"/>
    <row r="14" spans="2:67">
      <c r="B14" s="6" t="s">
        <v>82</v>
      </c>
      <c r="C14" s="6"/>
      <c r="D14" s="5"/>
      <c r="E14" s="5">
        <f t="shared" ref="E14:AI14" ca="1" si="20">SUM(E10:E12)</f>
        <v>618.67500000000007</v>
      </c>
      <c r="F14" s="5">
        <f t="shared" ca="1" si="20"/>
        <v>618.67500000000007</v>
      </c>
      <c r="G14" s="5">
        <f t="shared" ca="1" si="20"/>
        <v>918.88750000000005</v>
      </c>
      <c r="H14" s="5">
        <f t="shared" ca="1" si="20"/>
        <v>2292.8083333333334</v>
      </c>
      <c r="I14" s="5">
        <f t="shared" ca="1" si="20"/>
        <v>0</v>
      </c>
      <c r="J14" s="5">
        <f t="shared" ca="1" si="20"/>
        <v>0</v>
      </c>
      <c r="K14" s="5">
        <f t="shared" ca="1" si="20"/>
        <v>0</v>
      </c>
      <c r="L14" s="5">
        <f t="shared" ca="1" si="20"/>
        <v>368.95416666666671</v>
      </c>
      <c r="M14" s="5">
        <f t="shared" ca="1" si="20"/>
        <v>823.37916666666672</v>
      </c>
      <c r="N14" s="5">
        <f t="shared" ca="1" si="20"/>
        <v>1758.6916666666668</v>
      </c>
      <c r="O14" s="5">
        <f t="shared" ca="1" si="20"/>
        <v>253.97916666666666</v>
      </c>
      <c r="P14" s="5">
        <f t="shared" ca="1" si="20"/>
        <v>1682.65</v>
      </c>
      <c r="Q14" s="5">
        <f t="shared" ca="1" si="20"/>
        <v>1891.9166666666667</v>
      </c>
      <c r="R14" s="5">
        <f t="shared" ca="1" si="20"/>
        <v>2950.1125000000002</v>
      </c>
      <c r="S14" s="5">
        <f t="shared" ca="1" si="20"/>
        <v>4724.3166666666666</v>
      </c>
      <c r="T14" s="5">
        <f t="shared" ca="1" si="20"/>
        <v>1396.7333333333333</v>
      </c>
      <c r="U14" s="5">
        <f t="shared" ca="1" si="20"/>
        <v>0</v>
      </c>
      <c r="V14" s="5">
        <f t="shared" ca="1" si="20"/>
        <v>0</v>
      </c>
      <c r="W14" s="5">
        <f t="shared" ca="1" si="20"/>
        <v>0</v>
      </c>
      <c r="X14" s="5">
        <f t="shared" ca="1" si="20"/>
        <v>0</v>
      </c>
      <c r="Y14" s="5">
        <f t="shared" ca="1" si="20"/>
        <v>0</v>
      </c>
      <c r="Z14" s="5">
        <f ca="1">SUM(Z10:Z12)</f>
        <v>0</v>
      </c>
      <c r="AA14" s="5"/>
      <c r="AB14" s="5">
        <f t="shared" ref="AB14:AE14" ca="1" si="21">SUM(AB10:AB12)</f>
        <v>0</v>
      </c>
      <c r="AC14" s="5">
        <f t="shared" ca="1" si="21"/>
        <v>0</v>
      </c>
      <c r="AD14" s="5">
        <f t="shared" ca="1" si="21"/>
        <v>0</v>
      </c>
      <c r="AE14" s="5">
        <f t="shared" ca="1" si="21"/>
        <v>0</v>
      </c>
      <c r="AF14" s="5">
        <f t="shared" ca="1" si="20"/>
        <v>368.95416666666671</v>
      </c>
      <c r="AG14" s="5">
        <f t="shared" ca="1" si="20"/>
        <v>823.37916666666672</v>
      </c>
      <c r="AH14" s="5">
        <f t="shared" ca="1" si="20"/>
        <v>1758.6916666666668</v>
      </c>
      <c r="AI14" s="5">
        <f t="shared" ca="1" si="20"/>
        <v>253.97916666666666</v>
      </c>
      <c r="AK14" s="5">
        <f t="shared" ref="AK14:BO14" ca="1" si="22">SUM(AK10:AK12)</f>
        <v>672.81666666666672</v>
      </c>
      <c r="AL14" s="5">
        <f t="shared" ca="1" si="22"/>
        <v>672.81666666666672</v>
      </c>
      <c r="AM14" s="5">
        <f t="shared" ca="1" si="22"/>
        <v>999.49166666666667</v>
      </c>
      <c r="AN14" s="5">
        <f t="shared" ca="1" si="22"/>
        <v>2493.5583333333334</v>
      </c>
      <c r="AO14" s="5">
        <f t="shared" ca="1" si="22"/>
        <v>0</v>
      </c>
      <c r="AP14" s="5">
        <f t="shared" ca="1" si="22"/>
        <v>0</v>
      </c>
      <c r="AQ14" s="5">
        <f t="shared" ca="1" si="22"/>
        <v>0</v>
      </c>
      <c r="AR14" s="5">
        <f t="shared" ca="1" si="22"/>
        <v>401.19583333333333</v>
      </c>
      <c r="AS14" s="5">
        <f t="shared" ca="1" si="22"/>
        <v>895.4666666666667</v>
      </c>
      <c r="AT14" s="5">
        <f t="shared" ca="1" si="22"/>
        <v>1912.9041666666667</v>
      </c>
      <c r="AU14" s="5">
        <f t="shared" ca="1" si="22"/>
        <v>276.18333333333334</v>
      </c>
      <c r="AV14" s="5">
        <f t="shared" ca="1" si="22"/>
        <v>1830.1708333333333</v>
      </c>
      <c r="AW14" s="5">
        <f t="shared" ca="1" si="22"/>
        <v>2057.6875000000005</v>
      </c>
      <c r="AX14" s="5">
        <f t="shared" ca="1" si="22"/>
        <v>3208.6541666666667</v>
      </c>
      <c r="AY14" s="5">
        <f t="shared" ca="1" si="22"/>
        <v>5138.2875000000004</v>
      </c>
      <c r="AZ14" s="5">
        <f t="shared" ca="1" si="22"/>
        <v>1519.0083333333332</v>
      </c>
      <c r="BA14" s="5">
        <f t="shared" ca="1" si="22"/>
        <v>0</v>
      </c>
      <c r="BB14" s="5">
        <f t="shared" ca="1" si="22"/>
        <v>0</v>
      </c>
      <c r="BC14" s="5">
        <f t="shared" ca="1" si="22"/>
        <v>0</v>
      </c>
      <c r="BD14" s="5">
        <f t="shared" ca="1" si="22"/>
        <v>0</v>
      </c>
      <c r="BE14" s="5">
        <f t="shared" ca="1" si="22"/>
        <v>0</v>
      </c>
      <c r="BF14" s="5">
        <f ca="1">SUM(BF10:BF12)</f>
        <v>0</v>
      </c>
      <c r="BG14" s="5"/>
      <c r="BH14" s="5">
        <f t="shared" ref="BH14:BJ14" ca="1" si="23">SUM(BH10:BH12)</f>
        <v>0</v>
      </c>
      <c r="BI14" s="5">
        <f t="shared" ca="1" si="23"/>
        <v>0</v>
      </c>
      <c r="BJ14" s="5">
        <f t="shared" ca="1" si="23"/>
        <v>0</v>
      </c>
      <c r="BK14" s="5">
        <f t="shared" ref="BK14" ca="1" si="24">SUM(BK10:BK12)</f>
        <v>0</v>
      </c>
      <c r="BL14" s="5">
        <f t="shared" ca="1" si="22"/>
        <v>401.19583333333333</v>
      </c>
      <c r="BM14" s="5">
        <f t="shared" ca="1" si="22"/>
        <v>895.4666666666667</v>
      </c>
      <c r="BN14" s="5">
        <f t="shared" ca="1" si="22"/>
        <v>1912.9041666666667</v>
      </c>
      <c r="BO14" s="5">
        <f t="shared" ca="1" si="22"/>
        <v>276.18333333333334</v>
      </c>
    </row>
    <row r="16" spans="2:67" ht="22.8">
      <c r="B16" s="17" t="s">
        <v>121</v>
      </c>
      <c r="C16" s="17"/>
      <c r="D16" s="16" t="s">
        <v>81</v>
      </c>
      <c r="E16" s="16" t="str">
        <f>E$8</f>
        <v>2025/26 Rates</v>
      </c>
      <c r="F16" s="16" t="str">
        <f t="shared" ref="F16:AI16" si="25">F$8</f>
        <v>2025/26 Rates</v>
      </c>
      <c r="G16" s="16" t="str">
        <f t="shared" si="25"/>
        <v>2025/26 Rates</v>
      </c>
      <c r="H16" s="16" t="str">
        <f t="shared" si="25"/>
        <v>2025/26 Rates</v>
      </c>
      <c r="I16" s="16" t="str">
        <f t="shared" si="25"/>
        <v>2025/26 Rates</v>
      </c>
      <c r="J16" s="16" t="str">
        <f t="shared" si="25"/>
        <v>2025/26 Rates</v>
      </c>
      <c r="K16" s="16" t="str">
        <f t="shared" si="25"/>
        <v>2025/26 Rates</v>
      </c>
      <c r="L16" s="16" t="str">
        <f t="shared" si="25"/>
        <v>2025/26 Rates</v>
      </c>
      <c r="M16" s="16" t="str">
        <f t="shared" si="25"/>
        <v>2025/26 Rates</v>
      </c>
      <c r="N16" s="16" t="str">
        <f t="shared" si="25"/>
        <v>2025/26 Rates</v>
      </c>
      <c r="O16" s="16" t="str">
        <f t="shared" si="25"/>
        <v>2025/26 Rates</v>
      </c>
      <c r="P16" s="16" t="str">
        <f t="shared" si="25"/>
        <v>2025/26 Rates</v>
      </c>
      <c r="Q16" s="16" t="str">
        <f t="shared" si="25"/>
        <v>2025/26 Rates</v>
      </c>
      <c r="R16" s="16" t="str">
        <f t="shared" si="25"/>
        <v>2025/26 Rates</v>
      </c>
      <c r="S16" s="16" t="str">
        <f t="shared" si="25"/>
        <v>2025/26 Rates</v>
      </c>
      <c r="T16" s="16" t="str">
        <f t="shared" si="25"/>
        <v>2025/26 Rates</v>
      </c>
      <c r="U16" s="16" t="str">
        <f t="shared" si="25"/>
        <v>2025/26 Rates</v>
      </c>
      <c r="V16" s="16" t="str">
        <f t="shared" si="25"/>
        <v>2025/26 Rates</v>
      </c>
      <c r="W16" s="16" t="str">
        <f t="shared" si="25"/>
        <v>2025/26 Rates</v>
      </c>
      <c r="X16" s="16" t="str">
        <f t="shared" si="25"/>
        <v>2025/26 Rates</v>
      </c>
      <c r="Y16" s="16" t="str">
        <f t="shared" si="25"/>
        <v>2025/26 Rates</v>
      </c>
      <c r="Z16" s="16" t="str">
        <f t="shared" si="25"/>
        <v>2025/26 Rates</v>
      </c>
      <c r="AA16" s="16" t="str">
        <f t="shared" si="25"/>
        <v>2025/26 Rates</v>
      </c>
      <c r="AB16" s="16" t="str">
        <f t="shared" si="25"/>
        <v>2025/26 Rates</v>
      </c>
      <c r="AC16" s="16" t="str">
        <f t="shared" si="25"/>
        <v>2025/26 Rates</v>
      </c>
      <c r="AD16" s="16" t="str">
        <f t="shared" si="25"/>
        <v>2025/26 Rates</v>
      </c>
      <c r="AE16" s="16" t="str">
        <f t="shared" si="25"/>
        <v>2025/26 Rates</v>
      </c>
      <c r="AF16" s="16" t="str">
        <f t="shared" si="25"/>
        <v>2025/26 Rates</v>
      </c>
      <c r="AG16" s="16" t="str">
        <f t="shared" si="25"/>
        <v>2025/26 Rates</v>
      </c>
      <c r="AH16" s="16" t="str">
        <f t="shared" si="25"/>
        <v>2025/26 Rates</v>
      </c>
      <c r="AI16" s="16" t="str">
        <f t="shared" si="25"/>
        <v>2025/26 Rates</v>
      </c>
      <c r="AK16" s="16" t="str">
        <f>AK$8</f>
        <v>2026/27 Rates</v>
      </c>
      <c r="AL16" s="16" t="str">
        <f t="shared" ref="AL16:BO16" si="26">AL$8</f>
        <v>2026/27 Rates</v>
      </c>
      <c r="AM16" s="16" t="str">
        <f t="shared" si="26"/>
        <v>2026/27 Rates</v>
      </c>
      <c r="AN16" s="16" t="str">
        <f t="shared" si="26"/>
        <v>2026/27 Rates</v>
      </c>
      <c r="AO16" s="16" t="str">
        <f t="shared" si="26"/>
        <v>2026/27 Rates</v>
      </c>
      <c r="AP16" s="16" t="str">
        <f t="shared" si="26"/>
        <v>2026/27 Rates</v>
      </c>
      <c r="AQ16" s="16" t="str">
        <f t="shared" si="26"/>
        <v>2026/27 Rates</v>
      </c>
      <c r="AR16" s="16" t="str">
        <f t="shared" si="26"/>
        <v>2026/27 Rates</v>
      </c>
      <c r="AS16" s="16" t="str">
        <f t="shared" si="26"/>
        <v>2026/27 Rates</v>
      </c>
      <c r="AT16" s="16" t="str">
        <f t="shared" si="26"/>
        <v>2026/27 Rates</v>
      </c>
      <c r="AU16" s="16" t="str">
        <f t="shared" si="26"/>
        <v>2026/27 Rates</v>
      </c>
      <c r="AV16" s="16" t="str">
        <f t="shared" si="26"/>
        <v>2026/27 Rates</v>
      </c>
      <c r="AW16" s="16" t="str">
        <f t="shared" si="26"/>
        <v>2026/27 Rates</v>
      </c>
      <c r="AX16" s="16" t="str">
        <f t="shared" si="26"/>
        <v>2026/27 Rates</v>
      </c>
      <c r="AY16" s="16" t="str">
        <f t="shared" si="26"/>
        <v>2026/27 Rates</v>
      </c>
      <c r="AZ16" s="16" t="str">
        <f t="shared" si="26"/>
        <v>2026/27 Rates</v>
      </c>
      <c r="BA16" s="16" t="str">
        <f t="shared" si="26"/>
        <v>2026/27 Rates</v>
      </c>
      <c r="BB16" s="16" t="str">
        <f t="shared" si="26"/>
        <v>2026/27 Rates</v>
      </c>
      <c r="BC16" s="16" t="str">
        <f t="shared" si="26"/>
        <v>2026/27 Rates</v>
      </c>
      <c r="BD16" s="16" t="str">
        <f t="shared" si="26"/>
        <v>2026/27 Rates</v>
      </c>
      <c r="BE16" s="16" t="str">
        <f t="shared" si="26"/>
        <v>2026/27 Rates</v>
      </c>
      <c r="BF16" s="16" t="str">
        <f t="shared" si="26"/>
        <v>2026/27 Rates</v>
      </c>
      <c r="BG16" s="16" t="str">
        <f t="shared" si="26"/>
        <v>2026/27 Rates</v>
      </c>
      <c r="BH16" s="16" t="str">
        <f t="shared" si="26"/>
        <v>2026/27 Rates</v>
      </c>
      <c r="BI16" s="16" t="str">
        <f t="shared" si="26"/>
        <v>2026/27 Rates</v>
      </c>
      <c r="BJ16" s="16" t="str">
        <f t="shared" si="26"/>
        <v>2026/27 Rates</v>
      </c>
      <c r="BK16" s="16" t="str">
        <f t="shared" si="26"/>
        <v>2026/27 Rates</v>
      </c>
      <c r="BL16" s="16" t="str">
        <f t="shared" si="26"/>
        <v>2026/27 Rates</v>
      </c>
      <c r="BM16" s="16" t="str">
        <f t="shared" si="26"/>
        <v>2026/27 Rates</v>
      </c>
      <c r="BN16" s="16" t="str">
        <f t="shared" si="26"/>
        <v>2026/27 Rates</v>
      </c>
      <c r="BO16" s="16" t="str">
        <f t="shared" si="26"/>
        <v>2026/27 Rates</v>
      </c>
    </row>
    <row r="17" spans="2:67" ht="3.9" customHeight="1"/>
    <row r="18" spans="2:67">
      <c r="C18" t="s">
        <v>91</v>
      </c>
      <c r="D18" s="21" t="s">
        <v>80</v>
      </c>
      <c r="E18" s="43">
        <f t="shared" ref="E18:E25" ca="1" si="27">SUMIFS(F18:AI18,$F$7:$AI$7,$F$2)</f>
        <v>0</v>
      </c>
      <c r="F18" s="49">
        <f>IFERROR('Rates Table'!F18*(SPU_Annual_Total_Energy),0)/100</f>
        <v>0</v>
      </c>
      <c r="G18" s="49">
        <f>IFERROR('Rates Table'!G18*(SPU_Annual_Total_Energy),0)/100</f>
        <v>0</v>
      </c>
      <c r="H18" s="49">
        <f>IFERROR('Rates Table'!H18*(SPU_Annual_Total_Energy),0)/100</f>
        <v>0</v>
      </c>
      <c r="I18" s="49">
        <f>IFERROR('Rates Table'!I18*(SPU_Annual_Total_Energy),0)/100</f>
        <v>0</v>
      </c>
      <c r="J18" s="49">
        <f>IFERROR('Rates Table'!J18*(SPU_Annual_Total_Energy),0)/100</f>
        <v>0</v>
      </c>
      <c r="K18" s="49">
        <f>IFERROR('Rates Table'!K18*(SPU_Annual_Total_Energy),0)/100</f>
        <v>0</v>
      </c>
      <c r="L18" s="49">
        <f>IFERROR('Rates Table'!L18*(SPU_Annual_Total_Energy),0)/100</f>
        <v>0</v>
      </c>
      <c r="M18" s="49">
        <f>IFERROR('Rates Table'!M18*(SPU_Annual_Total_Energy),0)/100</f>
        <v>0</v>
      </c>
      <c r="N18" s="49">
        <f>IFERROR('Rates Table'!N18*(SPU_Annual_Total_Energy),0)/100</f>
        <v>0</v>
      </c>
      <c r="O18" s="49">
        <f>IFERROR('Rates Table'!O18*(SPU_Annual_Total_Energy),0)/100</f>
        <v>0</v>
      </c>
      <c r="P18" s="49">
        <f>IFERROR('Rates Table'!P18*(SPU_Annual_Total_Energy),0)/100</f>
        <v>0</v>
      </c>
      <c r="Q18" s="49">
        <f>IFERROR('Rates Table'!Q18*(SPU_Annual_Total_Energy),0)/100</f>
        <v>0</v>
      </c>
      <c r="R18" s="49">
        <f>IFERROR('Rates Table'!R18*(SPU_Annual_Total_Energy),0)/100</f>
        <v>0</v>
      </c>
      <c r="S18" s="49">
        <f>IFERROR('Rates Table'!S18*(SPU_Annual_Total_Energy),0)/100</f>
        <v>0</v>
      </c>
      <c r="T18" s="49">
        <f>IFERROR('Rates Table'!T18*(SPU_Annual_Total_Energy),0)/100</f>
        <v>0</v>
      </c>
      <c r="U18" s="49">
        <f>IFERROR('Rates Table'!U18*(SPU_Annual_Total_Energy),0)/100</f>
        <v>0</v>
      </c>
      <c r="V18" s="49">
        <f>IFERROR('Rates Table'!V18*(SPU_Annual_Total_Energy),0)/100</f>
        <v>0</v>
      </c>
      <c r="W18" s="49">
        <f>IFERROR('Rates Table'!W18*(SPU_Annual_Total_Energy),0)/100</f>
        <v>0</v>
      </c>
      <c r="X18" s="49">
        <f>IFERROR('Rates Table'!X18*(SPU_Annual_Total_Energy),0)/100</f>
        <v>0</v>
      </c>
      <c r="Y18" s="49">
        <f>IFERROR('Rates Table'!Y18*(SPU_Annual_Total_Energy),0)/100</f>
        <v>0</v>
      </c>
      <c r="Z18" s="49">
        <f>IFERROR('Rates Table'!Z18*(SPU_Annual_Total_Energy),0)/100</f>
        <v>0</v>
      </c>
      <c r="AA18" s="49"/>
      <c r="AB18" s="49">
        <f>IFERROR('Rates Table'!AB18*(SPU_Annual_Total_Energy),0)/100</f>
        <v>0</v>
      </c>
      <c r="AC18" s="49">
        <f>IFERROR('Rates Table'!AC18*(SPU_Annual_Total_Energy),0)/100</f>
        <v>0</v>
      </c>
      <c r="AD18" s="49">
        <f>IFERROR('Rates Table'!AD18*(SPU_Annual_Total_Energy),0)/100</f>
        <v>0</v>
      </c>
      <c r="AE18" s="49">
        <f>IFERROR('Rates Table'!AF18*(SPU_Annual_Total_Energy),0)/100</f>
        <v>0</v>
      </c>
      <c r="AF18" s="49">
        <f>IFERROR('Rates Table'!AF18*(SPU_Annual_Total_Energy),0)/100</f>
        <v>0</v>
      </c>
      <c r="AG18" s="49">
        <f>IFERROR('Rates Table'!AG18*(SPU_Annual_Total_Energy),0)/100</f>
        <v>0</v>
      </c>
      <c r="AH18" s="49">
        <f>IFERROR('Rates Table'!AH18*(SPU_Annual_Total_Energy),0)/100</f>
        <v>0</v>
      </c>
      <c r="AI18" s="49">
        <f>IFERROR('Rates Table'!AI18*(SPU_Annual_Total_Energy),0)/100</f>
        <v>0</v>
      </c>
      <c r="AK18" s="43">
        <f t="shared" ref="AK18:AK25" ca="1" si="28">SUMIFS(AL18:BO18,$F$7:$AI$7,Selected_Tariff_ID)</f>
        <v>0</v>
      </c>
      <c r="AL18" s="49">
        <f>IFERROR('Rates Table'!AL18*(SPU_Annual_Total_Energy),0)/100</f>
        <v>0</v>
      </c>
      <c r="AM18" s="49">
        <f>IFERROR('Rates Table'!AM18*(SPU_Annual_Total_Energy),0)/100</f>
        <v>0</v>
      </c>
      <c r="AN18" s="49">
        <f>IFERROR('Rates Table'!AN18*(SPU_Annual_Total_Energy),0)/100</f>
        <v>0</v>
      </c>
      <c r="AO18" s="49">
        <f>IFERROR('Rates Table'!AO18*(SPU_Annual_Total_Energy),0)/100</f>
        <v>0</v>
      </c>
      <c r="AP18" s="49">
        <f>IFERROR('Rates Table'!AP18*(SPU_Annual_Total_Energy),0)/100</f>
        <v>0</v>
      </c>
      <c r="AQ18" s="49">
        <f>IFERROR('Rates Table'!AQ18*(SPU_Annual_Total_Energy),0)/100</f>
        <v>0</v>
      </c>
      <c r="AR18" s="49">
        <f>IFERROR('Rates Table'!AR18*(SPU_Annual_Total_Energy),0)/100</f>
        <v>0</v>
      </c>
      <c r="AS18" s="49">
        <f>IFERROR('Rates Table'!AS18*(SPU_Annual_Total_Energy),0)/100</f>
        <v>0</v>
      </c>
      <c r="AT18" s="49">
        <f>IFERROR('Rates Table'!AT18*(SPU_Annual_Total_Energy),0)/100</f>
        <v>0</v>
      </c>
      <c r="AU18" s="49">
        <f>IFERROR('Rates Table'!AU18*(SPU_Annual_Total_Energy),0)/100</f>
        <v>0</v>
      </c>
      <c r="AV18" s="49">
        <f>IFERROR('Rates Table'!AV18*(SPU_Annual_Total_Energy),0)/100</f>
        <v>0</v>
      </c>
      <c r="AW18" s="49">
        <f>IFERROR('Rates Table'!AW18*(SPU_Annual_Total_Energy),0)/100</f>
        <v>0</v>
      </c>
      <c r="AX18" s="49">
        <f>IFERROR('Rates Table'!AX18*(SPU_Annual_Total_Energy),0)/100</f>
        <v>0</v>
      </c>
      <c r="AY18" s="49">
        <f>IFERROR('Rates Table'!AY18*(SPU_Annual_Total_Energy),0)/100</f>
        <v>0</v>
      </c>
      <c r="AZ18" s="49">
        <f>IFERROR('Rates Table'!AZ18*(SPU_Annual_Total_Energy),0)/100</f>
        <v>0</v>
      </c>
      <c r="BA18" s="49">
        <f>IFERROR('Rates Table'!BA18*(SPU_Annual_Total_Energy),0)/100</f>
        <v>0</v>
      </c>
      <c r="BB18" s="49">
        <f>IFERROR('Rates Table'!BB18*(SPU_Annual_Total_Energy),0)/100</f>
        <v>0</v>
      </c>
      <c r="BC18" s="49">
        <f>IFERROR('Rates Table'!BC18*(SPU_Annual_Total_Energy),0)/100</f>
        <v>0</v>
      </c>
      <c r="BD18" s="49">
        <f>IFERROR('Rates Table'!BD18*(SPU_Annual_Total_Energy),0)/100</f>
        <v>0</v>
      </c>
      <c r="BE18" s="49">
        <f>IFERROR('Rates Table'!BE18*(SPU_Annual_Total_Energy),0)/100</f>
        <v>0</v>
      </c>
      <c r="BF18" s="49">
        <f>IFERROR('Rates Table'!BF18*(SPU_Annual_Total_Energy),0)/100</f>
        <v>0</v>
      </c>
      <c r="BG18" s="49"/>
      <c r="BH18" s="49">
        <f>IFERROR('Rates Table'!BH18*(SPU_Annual_Total_Energy),0)/100</f>
        <v>0</v>
      </c>
      <c r="BI18" s="49">
        <f>IFERROR('Rates Table'!BI18*(SPU_Annual_Total_Energy),0)/100</f>
        <v>0</v>
      </c>
      <c r="BJ18" s="49">
        <f>IFERROR('Rates Table'!BJ18*(SPU_Annual_Total_Energy),0)/100</f>
        <v>0</v>
      </c>
      <c r="BK18" s="49">
        <f>IFERROR('Rates Table'!BK18*(SPU_Annual_Total_Energy),0)/100</f>
        <v>0</v>
      </c>
      <c r="BL18" s="49">
        <f>IFERROR('Rates Table'!BL18*(Homeflex_Total_Energy),0)/100</f>
        <v>0</v>
      </c>
      <c r="BM18" s="49">
        <f>IFERROR('Rates Table'!BM18*(Homeflex_Total_Energy),0)/100</f>
        <v>0</v>
      </c>
      <c r="BN18" s="49">
        <f>IFERROR('Rates Table'!BN18*(Homeflex_Total_Energy),0)/100</f>
        <v>0</v>
      </c>
      <c r="BO18" s="49">
        <f>IFERROR('Rates Table'!BO18*(Homeflex_Total_Energy),0)/100</f>
        <v>0</v>
      </c>
    </row>
    <row r="19" spans="2:67">
      <c r="C19" t="s">
        <v>310</v>
      </c>
      <c r="D19" s="21" t="s">
        <v>80</v>
      </c>
      <c r="E19" s="43">
        <f t="shared" ca="1" si="27"/>
        <v>0</v>
      </c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>
        <f>IFERROR('Rates Table'!AF19*(Homeflex_Peak_Energy_Low),0)/100</f>
        <v>0</v>
      </c>
      <c r="AG19" s="49">
        <f>IFERROR('Rates Table'!AG19*(Homeflex_Peak_Energy_Low),0)/100</f>
        <v>0</v>
      </c>
      <c r="AH19" s="49">
        <f>IFERROR('Rates Table'!AH19*(Homeflex_Peak_Energy_Low),0)/100</f>
        <v>0</v>
      </c>
      <c r="AI19" s="49">
        <f>IFERROR('Rates Table'!AI19*(Homeflex_Peak_Energy_Low),0)/100</f>
        <v>0</v>
      </c>
      <c r="AK19" s="43">
        <f t="shared" ca="1" si="28"/>
        <v>0</v>
      </c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>
        <f>IFERROR('Rates SPU - New'!$L$29*(Homeflex_Peak_Energy_Low),0)/100</f>
        <v>0</v>
      </c>
      <c r="BM19" s="49">
        <f>IFERROR('Rates SPU - New'!$L$29*(Homeflex_Peak_Energy_Low),0)/100</f>
        <v>0</v>
      </c>
      <c r="BN19" s="49">
        <f>IFERROR('Rates SPU - New'!$L$29*(Homeflex_Peak_Energy_Low),0)/100</f>
        <v>0</v>
      </c>
      <c r="BO19" s="49">
        <f>IFERROR('Rates SPU - New'!$L$29*(Homeflex_Peak_Energy_Low),0)/100</f>
        <v>0</v>
      </c>
    </row>
    <row r="20" spans="2:67">
      <c r="C20" t="s">
        <v>311</v>
      </c>
      <c r="D20" s="21" t="s">
        <v>80</v>
      </c>
      <c r="E20" s="43">
        <f t="shared" ca="1" si="27"/>
        <v>0</v>
      </c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>
        <f>IFERROR('Rates Table'!AF20*(Homeflex_Standard_Energy_Low),0)/100</f>
        <v>0</v>
      </c>
      <c r="AG20" s="49">
        <f>IFERROR('Rates Table'!AG20*(Homeflex_Standard_Energy_Low),0)/100</f>
        <v>0</v>
      </c>
      <c r="AH20" s="49">
        <f>IFERROR('Rates Table'!AH20*(Homeflex_Standard_Energy_Low),0)/100</f>
        <v>0</v>
      </c>
      <c r="AI20" s="49">
        <f>IFERROR('Rates Table'!AI20*(Homeflex_Standard_Energy_Low),0)/100</f>
        <v>0</v>
      </c>
      <c r="AK20" s="43">
        <f t="shared" ca="1" si="28"/>
        <v>0</v>
      </c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>
        <f>IFERROR('Rates SPU - New'!$M$30*(Homeflex_Standard_Energy_Low),0)/100</f>
        <v>0</v>
      </c>
      <c r="BM20" s="49">
        <f>IFERROR('Rates SPU - New'!$M$30*(Homeflex_Standard_Energy_Low),0)/100</f>
        <v>0</v>
      </c>
      <c r="BN20" s="49">
        <f>IFERROR('Rates SPU - New'!$M$30*(Homeflex_Standard_Energy_Low),0)/100</f>
        <v>0</v>
      </c>
      <c r="BO20" s="49">
        <f>IFERROR('Rates SPU - New'!$M$30*(Homeflex_Standard_Energy_Low),0)/100</f>
        <v>0</v>
      </c>
    </row>
    <row r="21" spans="2:67">
      <c r="C21" t="s">
        <v>312</v>
      </c>
      <c r="D21" s="21" t="s">
        <v>80</v>
      </c>
      <c r="E21" s="43">
        <f t="shared" ca="1" si="27"/>
        <v>0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>
        <f>IFERROR('Rates Table'!AF21*(Homeflex_OffPeak_Energy_Low),0)/100</f>
        <v>0</v>
      </c>
      <c r="AG21" s="49">
        <f>IFERROR('Rates Table'!AG21*(Homeflex_OffPeak_Energy_Low),0)/100</f>
        <v>0</v>
      </c>
      <c r="AH21" s="49">
        <f>IFERROR('Rates Table'!AH21*(Homeflex_OffPeak_Energy_Low),0)/100</f>
        <v>0</v>
      </c>
      <c r="AI21" s="49">
        <f>IFERROR('Rates Table'!AI21*(Homeflex_OffPeak_Energy_Low),0)/100</f>
        <v>0</v>
      </c>
      <c r="AK21" s="43">
        <f t="shared" ca="1" si="28"/>
        <v>0</v>
      </c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>
        <f>IFERROR('Rates SPU - New'!$N$30*(Homeflex_OffPeak_Energy_Low),0)/100</f>
        <v>0</v>
      </c>
      <c r="BM21" s="49">
        <f>IFERROR('Rates SPU - New'!$N$30*(Homeflex_OffPeak_Energy_Low),0)/100</f>
        <v>0</v>
      </c>
      <c r="BN21" s="49">
        <f>IFERROR('Rates SPU - New'!$N$30*(Homeflex_OffPeak_Energy_Low),0)/100</f>
        <v>0</v>
      </c>
      <c r="BO21" s="49">
        <f>IFERROR('Rates SPU - New'!$N$30*(Homeflex_OffPeak_Energy_Low),0)/100</f>
        <v>0</v>
      </c>
    </row>
    <row r="22" spans="2:67">
      <c r="C22" t="s">
        <v>126</v>
      </c>
      <c r="D22" s="21" t="s">
        <v>80</v>
      </c>
      <c r="E22" s="43">
        <f t="shared" ca="1" si="27"/>
        <v>0</v>
      </c>
      <c r="F22" s="4">
        <f ca="1">IFERROR('Rates Table'!F22*(SPU_Block_1),0)/100</f>
        <v>0</v>
      </c>
      <c r="G22" s="4">
        <f ca="1">IFERROR('Rates Table'!G22*(SPU_Block_1),0)/100</f>
        <v>0</v>
      </c>
      <c r="H22" s="4">
        <f ca="1">IFERROR('Rates Table'!H22*(SPU_Block_1),0)/100</f>
        <v>0</v>
      </c>
      <c r="I22" s="4">
        <f ca="1">IFERROR('Rates Table'!I22*(SPU_Block_1),0)/100</f>
        <v>0</v>
      </c>
      <c r="J22" s="4">
        <f ca="1">IFERROR('Rates Table'!J22*(SPU_Block_1),0)/100</f>
        <v>0</v>
      </c>
      <c r="K22" s="4">
        <f ca="1">IFERROR('Rates Table'!K22*(SPU_Block_1),0)/100</f>
        <v>0</v>
      </c>
      <c r="L22" s="4">
        <f ca="1">IFERROR('Rates Table'!L22*(SPU_Block_1),0)/100</f>
        <v>0</v>
      </c>
      <c r="M22" s="4">
        <f ca="1">IFERROR('Rates Table'!M22*(SPU_Block_1),0)/100</f>
        <v>0</v>
      </c>
      <c r="N22" s="4">
        <f ca="1">IFERROR('Rates Table'!N22*(SPU_Block_1),0)/100</f>
        <v>0</v>
      </c>
      <c r="O22" s="4">
        <f ca="1">IFERROR('Rates Table'!O22*(SPU_Block_1),0)/100</f>
        <v>0</v>
      </c>
      <c r="P22" s="4">
        <f ca="1">IFERROR('Rates Table'!P22*(SPU_Block_1),0)/100</f>
        <v>0</v>
      </c>
      <c r="Q22" s="4">
        <f ca="1">IFERROR('Rates Table'!Q22*(SPU_Block_1),0)/100</f>
        <v>0</v>
      </c>
      <c r="R22" s="4">
        <f ca="1">IFERROR('Rates Table'!R22*(SPU_Block_1),0)/100</f>
        <v>0</v>
      </c>
      <c r="S22" s="4">
        <f ca="1">IFERROR('Rates Table'!S22*(SPU_Block_1),0)/100</f>
        <v>0</v>
      </c>
      <c r="T22" s="4">
        <f ca="1">IFERROR('Rates Table'!T22*(SPU_Block_1),0)/100</f>
        <v>0</v>
      </c>
      <c r="U22" s="4">
        <f ca="1">IFERROR('Rates Table'!U22*(SPU_Block_1),0)/100</f>
        <v>0</v>
      </c>
      <c r="V22" s="4">
        <f ca="1">IFERROR('Rates Table'!V22*(SPU_Block_1),0)/100</f>
        <v>0</v>
      </c>
      <c r="W22" s="4">
        <f ca="1">IFERROR('Rates Table'!W22*(SPU_Block_1),0)/100</f>
        <v>0</v>
      </c>
      <c r="X22" s="4">
        <f ca="1">IFERROR('Rates Table'!X22*(SPU_Block_1),0)/100</f>
        <v>0</v>
      </c>
      <c r="Y22" s="4">
        <f ca="1">IFERROR('Rates Table'!Y22*(SPU_Block_1),0)/100</f>
        <v>0</v>
      </c>
      <c r="Z22" s="4">
        <f ca="1">IFERROR('Rates Table'!Z22*(SPU_Block_1),0)/100</f>
        <v>0</v>
      </c>
      <c r="AA22" s="4"/>
      <c r="AB22" s="4">
        <f ca="1">IFERROR('Rates Table'!AB22*(SPU_Block_1),0)/100</f>
        <v>0</v>
      </c>
      <c r="AC22" s="4">
        <f ca="1">IFERROR('Rates Table'!AC22*(SPU_Block_1),0)/100</f>
        <v>0</v>
      </c>
      <c r="AD22" s="4">
        <f ca="1">IFERROR('Rates Table'!AD22*(SPU_Block_1),0)/100</f>
        <v>0</v>
      </c>
      <c r="AE22" s="4">
        <f ca="1">IFERROR('Rates Table'!AF22*(SPU_Block_1),0)/100</f>
        <v>0</v>
      </c>
      <c r="AF22" s="4">
        <f ca="1">IFERROR('Rates Table'!AF22*(SPU_Block_1),0)/100</f>
        <v>0</v>
      </c>
      <c r="AG22" s="4">
        <f ca="1">IFERROR('Rates Table'!AG22*(SPU_Block_1),0)/100</f>
        <v>0</v>
      </c>
      <c r="AH22" s="4">
        <f ca="1">IFERROR('Rates Table'!AH22*(SPU_Block_1),0)/100</f>
        <v>0</v>
      </c>
      <c r="AI22" s="4">
        <f ca="1">IFERROR('Rates Table'!AI22*(SPU_Block_1),0)/100</f>
        <v>0</v>
      </c>
      <c r="AK22" s="43">
        <f t="shared" ca="1" si="28"/>
        <v>0</v>
      </c>
      <c r="AL22" s="4">
        <f ca="1">IFERROR('Rates Table'!AL22*(SPU_Block_1),0)/100</f>
        <v>0</v>
      </c>
      <c r="AM22" s="4">
        <f ca="1">IFERROR('Rates Table'!AM22*(SPU_Block_1),0)/100</f>
        <v>0</v>
      </c>
      <c r="AN22" s="4">
        <f ca="1">IFERROR('Rates Table'!AN22*(SPU_Block_1),0)/100</f>
        <v>0</v>
      </c>
      <c r="AO22" s="4">
        <f ca="1">IFERROR('Rates Table'!AO22*(SPU_Block_1),0)/100</f>
        <v>0</v>
      </c>
      <c r="AP22" s="4">
        <f ca="1">IFERROR('Rates Table'!AP22*(SPU_Block_1),0)/100</f>
        <v>0</v>
      </c>
      <c r="AQ22" s="4">
        <f ca="1">IFERROR('Rates Table'!AQ22*(SPU_Block_1),0)/100</f>
        <v>0</v>
      </c>
      <c r="AR22" s="4">
        <f ca="1">IFERROR('Rates Table'!AR22*(SPU_Block_1),0)/100</f>
        <v>0</v>
      </c>
      <c r="AS22" s="4">
        <f ca="1">IFERROR('Rates Table'!AS22*(SPU_Block_1),0)/100</f>
        <v>0</v>
      </c>
      <c r="AT22" s="4">
        <f ca="1">IFERROR('Rates Table'!AT22*(SPU_Block_1),0)/100</f>
        <v>0</v>
      </c>
      <c r="AU22" s="4">
        <f ca="1">IFERROR('Rates Table'!AU22*(SPU_Block_1),0)/100</f>
        <v>0</v>
      </c>
      <c r="AV22" s="4">
        <f ca="1">IFERROR('Rates Table'!AV22*(SPU_Block_1),0)/100</f>
        <v>0</v>
      </c>
      <c r="AW22" s="4">
        <f ca="1">IFERROR('Rates Table'!AW22*(SPU_Block_1),0)/100</f>
        <v>0</v>
      </c>
      <c r="AX22" s="4">
        <f ca="1">IFERROR('Rates Table'!AX22*(SPU_Block_1),0)/100</f>
        <v>0</v>
      </c>
      <c r="AY22" s="4">
        <f ca="1">IFERROR('Rates Table'!AY22*(SPU_Block_1),0)/100</f>
        <v>0</v>
      </c>
      <c r="AZ22" s="4">
        <f ca="1">IFERROR('Rates Table'!AZ22*(SPU_Block_1),0)/100</f>
        <v>0</v>
      </c>
      <c r="BA22" s="4">
        <f ca="1">IFERROR('Rates Table'!BA22*(SPU_Block_1),0)/100</f>
        <v>0</v>
      </c>
      <c r="BB22" s="4">
        <f ca="1">IFERROR('Rates Table'!BB22*(SPU_Block_1),0)/100</f>
        <v>0</v>
      </c>
      <c r="BC22" s="4">
        <f ca="1">IFERROR('Rates Table'!BC22*(SPU_Block_1),0)/100</f>
        <v>0</v>
      </c>
      <c r="BD22" s="4">
        <f ca="1">IFERROR('Rates Table'!BD22*(SPU_Block_1),0)/100</f>
        <v>0</v>
      </c>
      <c r="BE22" s="4">
        <f ca="1">IFERROR('Rates Table'!BE22*(SPU_Block_1),0)/100</f>
        <v>0</v>
      </c>
      <c r="BF22" s="4">
        <f ca="1">IFERROR('Rates Table'!BF22*(SPU_Block_1),0)/100</f>
        <v>0</v>
      </c>
      <c r="BG22" s="4"/>
      <c r="BH22" s="4">
        <f ca="1">IFERROR('Rates Table'!BH22*(SPU_Block_1),0)/100</f>
        <v>0</v>
      </c>
      <c r="BI22" s="4">
        <f ca="1">IFERROR('Rates Table'!BI22*(SPU_Block_1),0)/100</f>
        <v>0</v>
      </c>
      <c r="BJ22" s="4">
        <f ca="1">IFERROR('Rates Table'!BJ22*(SPU_Block_1),0)/100</f>
        <v>0</v>
      </c>
      <c r="BK22" s="4">
        <f ca="1">IFERROR('Rates Table'!BK22*(SPU_Block_1),0)/100</f>
        <v>0</v>
      </c>
      <c r="BL22" s="4">
        <f ca="1">IFERROR('Rates Table'!BL22*(SPU_Block_1),0)/100</f>
        <v>0</v>
      </c>
      <c r="BM22" s="4">
        <f ca="1">IFERROR('Rates Table'!BM22*(SPU_Block_1),0)/100</f>
        <v>0</v>
      </c>
      <c r="BN22" s="4">
        <f ca="1">IFERROR('Rates Table'!BN22*(SPU_Block_1),0)/100</f>
        <v>0</v>
      </c>
      <c r="BO22" s="4">
        <f ca="1">IFERROR('Rates Table'!BO22*(SPU_Block_1),0)/100</f>
        <v>0</v>
      </c>
    </row>
    <row r="23" spans="2:67">
      <c r="C23" t="s">
        <v>127</v>
      </c>
      <c r="D23" s="21" t="s">
        <v>80</v>
      </c>
      <c r="E23" s="43">
        <f t="shared" ca="1" si="27"/>
        <v>0</v>
      </c>
      <c r="F23" s="4">
        <f ca="1">IFERROR('Rates Table'!F23*(SPU_Block_2),0)/100</f>
        <v>0</v>
      </c>
      <c r="G23" s="4">
        <f ca="1">IFERROR('Rates Table'!G23*(SPU_Block_2),0)/100</f>
        <v>0</v>
      </c>
      <c r="H23" s="4">
        <f ca="1">IFERROR('Rates Table'!H23*(SPU_Block_2),0)/100</f>
        <v>0</v>
      </c>
      <c r="I23" s="4">
        <f ca="1">IFERROR('Rates Table'!I23*(SPU_Block_2),0)/100</f>
        <v>0</v>
      </c>
      <c r="J23" s="4">
        <f ca="1">IFERROR('Rates Table'!J23*(SPU_Block_2),0)/100</f>
        <v>0</v>
      </c>
      <c r="K23" s="4">
        <f ca="1">IFERROR('Rates Table'!K23*(SPU_Block_2),0)/100</f>
        <v>0</v>
      </c>
      <c r="L23" s="4">
        <f ca="1">IFERROR('Rates Table'!L23*(SPU_Block_2),0)/100</f>
        <v>0</v>
      </c>
      <c r="M23" s="4">
        <f ca="1">IFERROR('Rates Table'!M23*(SPU_Block_2),0)/100</f>
        <v>0</v>
      </c>
      <c r="N23" s="4">
        <f ca="1">IFERROR('Rates Table'!N23*(SPU_Block_2),0)/100</f>
        <v>0</v>
      </c>
      <c r="O23" s="4">
        <f ca="1">IFERROR('Rates Table'!O23*(SPU_Block_2),0)/100</f>
        <v>0</v>
      </c>
      <c r="P23" s="4">
        <f ca="1">IFERROR('Rates Table'!P23*(SPU_Block_2),0)/100</f>
        <v>0</v>
      </c>
      <c r="Q23" s="4">
        <f ca="1">IFERROR('Rates Table'!Q23*(SPU_Block_2),0)/100</f>
        <v>0</v>
      </c>
      <c r="R23" s="4">
        <f ca="1">IFERROR('Rates Table'!R23*(SPU_Block_2),0)/100</f>
        <v>0</v>
      </c>
      <c r="S23" s="4">
        <f ca="1">IFERROR('Rates Table'!S23*(SPU_Block_2),0)/100</f>
        <v>0</v>
      </c>
      <c r="T23" s="4">
        <f ca="1">IFERROR('Rates Table'!T23*(SPU_Block_2),0)/100</f>
        <v>0</v>
      </c>
      <c r="U23" s="4">
        <f ca="1">IFERROR('Rates Table'!U23*(SPU_Block_2),0)/100</f>
        <v>0</v>
      </c>
      <c r="V23" s="4">
        <f ca="1">IFERROR('Rates Table'!V23*(SPU_Block_2),0)/100</f>
        <v>0</v>
      </c>
      <c r="W23" s="4">
        <f ca="1">IFERROR('Rates Table'!W23*(SPU_Block_2),0)/100</f>
        <v>0</v>
      </c>
      <c r="X23" s="4">
        <f ca="1">IFERROR('Rates Table'!X23*(SPU_Block_2),0)/100</f>
        <v>0</v>
      </c>
      <c r="Y23" s="4">
        <f ca="1">IFERROR('Rates Table'!Y23*(SPU_Block_2),0)/100</f>
        <v>0</v>
      </c>
      <c r="Z23" s="4">
        <f ca="1">IFERROR('Rates Table'!Z23*(SPU_Block_2),0)/100</f>
        <v>0</v>
      </c>
      <c r="AA23" s="4"/>
      <c r="AB23" s="4">
        <f ca="1">IFERROR('Rates Table'!AB23*(SPU_Block_2),0)/100</f>
        <v>0</v>
      </c>
      <c r="AC23" s="4">
        <f ca="1">IFERROR('Rates Table'!AC23*(SPU_Block_2),0)/100</f>
        <v>0</v>
      </c>
      <c r="AD23" s="4">
        <f ca="1">IFERROR('Rates Table'!AD23*(SPU_Block_2),0)/100</f>
        <v>0</v>
      </c>
      <c r="AE23" s="4">
        <f ca="1">IFERROR('Rates Table'!AF23*(SPU_Block_2),0)/100</f>
        <v>0</v>
      </c>
      <c r="AF23" s="4">
        <f ca="1">IFERROR('Rates Table'!AF23*(SPU_Block_2),0)/100</f>
        <v>0</v>
      </c>
      <c r="AG23" s="4">
        <f ca="1">IFERROR('Rates Table'!AG23*(SPU_Block_2),0)/100</f>
        <v>0</v>
      </c>
      <c r="AH23" s="4">
        <f ca="1">IFERROR('Rates Table'!AH23*(SPU_Block_2),0)/100</f>
        <v>0</v>
      </c>
      <c r="AI23" s="4">
        <f ca="1">IFERROR('Rates Table'!AI23*(SPU_Block_2),0)/100</f>
        <v>0</v>
      </c>
      <c r="AK23" s="43">
        <f t="shared" ca="1" si="28"/>
        <v>0</v>
      </c>
      <c r="AL23" s="4">
        <f ca="1">IFERROR('Rates Table'!AL23*(SPU_Block_2),0)/100</f>
        <v>0</v>
      </c>
      <c r="AM23" s="4">
        <f ca="1">IFERROR('Rates Table'!AM23*(SPU_Block_2),0)/100</f>
        <v>0</v>
      </c>
      <c r="AN23" s="4">
        <f ca="1">IFERROR('Rates Table'!AN23*(SPU_Block_2),0)/100</f>
        <v>0</v>
      </c>
      <c r="AO23" s="4">
        <f ca="1">IFERROR('Rates Table'!AO23*(SPU_Block_2),0)/100</f>
        <v>0</v>
      </c>
      <c r="AP23" s="4">
        <f ca="1">IFERROR('Rates Table'!AP23*(SPU_Block_2),0)/100</f>
        <v>0</v>
      </c>
      <c r="AQ23" s="4">
        <f ca="1">IFERROR('Rates Table'!AQ23*(SPU_Block_2),0)/100</f>
        <v>0</v>
      </c>
      <c r="AR23" s="4">
        <f ca="1">IFERROR('Rates Table'!AR23*(SPU_Block_2),0)/100</f>
        <v>0</v>
      </c>
      <c r="AS23" s="4">
        <f ca="1">IFERROR('Rates Table'!AS23*(SPU_Block_2),0)/100</f>
        <v>0</v>
      </c>
      <c r="AT23" s="4">
        <f ca="1">IFERROR('Rates Table'!AT23*(SPU_Block_2),0)/100</f>
        <v>0</v>
      </c>
      <c r="AU23" s="4">
        <f ca="1">IFERROR('Rates Table'!AU23*(SPU_Block_2),0)/100</f>
        <v>0</v>
      </c>
      <c r="AV23" s="4">
        <f ca="1">IFERROR('Rates Table'!AV23*(SPU_Block_2),0)/100</f>
        <v>0</v>
      </c>
      <c r="AW23" s="4">
        <f ca="1">IFERROR('Rates Table'!AW23*(SPU_Block_2),0)/100</f>
        <v>0</v>
      </c>
      <c r="AX23" s="4">
        <f ca="1">IFERROR('Rates Table'!AX23*(SPU_Block_2),0)/100</f>
        <v>0</v>
      </c>
      <c r="AY23" s="4">
        <f ca="1">IFERROR('Rates Table'!AY23*(SPU_Block_2),0)/100</f>
        <v>0</v>
      </c>
      <c r="AZ23" s="4">
        <f ca="1">IFERROR('Rates Table'!AZ23*(SPU_Block_2),0)/100</f>
        <v>0</v>
      </c>
      <c r="BA23" s="4">
        <f ca="1">IFERROR('Rates Table'!BA23*(SPU_Block_2),0)/100</f>
        <v>0</v>
      </c>
      <c r="BB23" s="4">
        <f ca="1">IFERROR('Rates Table'!BB23*(SPU_Block_2),0)/100</f>
        <v>0</v>
      </c>
      <c r="BC23" s="4">
        <f ca="1">IFERROR('Rates Table'!BC23*(SPU_Block_2),0)/100</f>
        <v>0</v>
      </c>
      <c r="BD23" s="4">
        <f ca="1">IFERROR('Rates Table'!BD23*(SPU_Block_2),0)/100</f>
        <v>0</v>
      </c>
      <c r="BE23" s="4">
        <f ca="1">IFERROR('Rates Table'!BE23*(SPU_Block_2),0)/100</f>
        <v>0</v>
      </c>
      <c r="BF23" s="4">
        <f ca="1">IFERROR('Rates Table'!BF23*(SPU_Block_2),0)/100</f>
        <v>0</v>
      </c>
      <c r="BG23" s="4"/>
      <c r="BH23" s="4">
        <f ca="1">IFERROR('Rates Table'!BH23*(SPU_Block_2),0)/100</f>
        <v>0</v>
      </c>
      <c r="BI23" s="4">
        <f ca="1">IFERROR('Rates Table'!BI23*(SPU_Block_2),0)/100</f>
        <v>0</v>
      </c>
      <c r="BJ23" s="4">
        <f ca="1">IFERROR('Rates Table'!BJ23*(SPU_Block_2),0)/100</f>
        <v>0</v>
      </c>
      <c r="BK23" s="4">
        <f ca="1">IFERROR('Rates Table'!BK23*(SPU_Block_2),0)/100</f>
        <v>0</v>
      </c>
      <c r="BL23" s="4">
        <f ca="1">IFERROR('Rates Table'!BL23*(SPU_Block_2),0)/100</f>
        <v>0</v>
      </c>
      <c r="BM23" s="4">
        <f ca="1">IFERROR('Rates Table'!BM23*(SPU_Block_2),0)/100</f>
        <v>0</v>
      </c>
      <c r="BN23" s="4">
        <f ca="1">IFERROR('Rates Table'!BN23*(SPU_Block_2),0)/100</f>
        <v>0</v>
      </c>
      <c r="BO23" s="4">
        <f ca="1">IFERROR('Rates Table'!BO23*(SPU_Block_2),0)/100</f>
        <v>0</v>
      </c>
    </row>
    <row r="24" spans="2:67">
      <c r="C24" s="153" t="s">
        <v>373</v>
      </c>
      <c r="D24" s="154" t="s">
        <v>379</v>
      </c>
      <c r="E24" s="43">
        <f t="shared" ca="1" si="27"/>
        <v>60.225000000000001</v>
      </c>
      <c r="F24" s="4">
        <f ca="1">IFERROR('Rates Table'!F24*IF($E$2="Homepower Bulk",Inputs!$H$27,PODs*ESKOM_Total_days),0)</f>
        <v>60.225000000000001</v>
      </c>
      <c r="G24" s="4">
        <f ca="1">IFERROR('Rates Table'!G24*IF($E$2="Homepower Bulk",Inputs!$H$27,PODs*ESKOM_Total_days),0)</f>
        <v>89.729166666666671</v>
      </c>
      <c r="H24" s="4">
        <f ca="1">IFERROR('Rates Table'!H24*IF($E$2="Homepower Bulk",Inputs!$H$27,PODs*ESKOM_Total_days),0)</f>
        <v>224.17083333333335</v>
      </c>
      <c r="I24" s="4">
        <f ca="1">IFERROR('Rates Table'!I24*IF($E$2="Homepower Bulk",Inputs!$H$27,PODs*ESKOM_Total_days),0)</f>
        <v>0</v>
      </c>
      <c r="J24" s="4">
        <f ca="1">IFERROR('Rates Table'!J24*IF($E$2="Homepower Bulk",Inputs!$H$27,PODs*ESKOM_Total_days),0)</f>
        <v>0</v>
      </c>
      <c r="K24" s="4">
        <f ca="1">IFERROR('Rates Table'!K24*IF($E$2="Homepower Bulk",Inputs!$H$27,PODs*ESKOM_Total_days),0)</f>
        <v>0</v>
      </c>
      <c r="L24" s="4">
        <f ca="1">IFERROR('Rates Table'!L24*IF($E$2="Homepower Bulk",Inputs!$H$27,PODs*ESKOM_Total_days),0)</f>
        <v>21.9</v>
      </c>
      <c r="M24" s="4">
        <f ca="1">IFERROR('Rates Table'!M24*IF($E$2="Homepower Bulk",Inputs!$H$27,PODs*ESKOM_Total_days),0)</f>
        <v>38.62916666666667</v>
      </c>
      <c r="N24" s="4">
        <f ca="1">IFERROR('Rates Table'!N24*IF($E$2="Homepower Bulk",Inputs!$H$27,PODs*ESKOM_Total_days),0)</f>
        <v>94.291666666666671</v>
      </c>
      <c r="O24" s="4">
        <f ca="1">IFERROR('Rates Table'!O24*IF($E$2="Homepower Bulk",Inputs!$H$27,PODs*ESKOM_Total_days),0)</f>
        <v>14.295833333333333</v>
      </c>
      <c r="P24" s="4">
        <f ca="1">IFERROR('Rates Table'!P24*IF($E$2="Homepower Bulk",Inputs!$H$27,PODs*ESKOM_Total_days),0)</f>
        <v>145.39166666666668</v>
      </c>
      <c r="Q24" s="4">
        <f ca="1">IFERROR('Rates Table'!Q24*IF($E$2="Homepower Bulk",Inputs!$H$27,PODs*ESKOM_Total_days),0)</f>
        <v>82.429166666666674</v>
      </c>
      <c r="R24" s="4">
        <f ca="1">IFERROR('Rates Table'!R24*IF($E$2="Homepower Bulk",Inputs!$H$27,PODs*ESKOM_Total_days),0)</f>
        <v>163.33750000000001</v>
      </c>
      <c r="S24" s="4">
        <f ca="1">IFERROR('Rates Table'!S24*IF($E$2="Homepower Bulk",Inputs!$H$27,PODs*ESKOM_Total_days),0)</f>
        <v>319.375</v>
      </c>
      <c r="T24" s="4">
        <f ca="1">IFERROR('Rates Table'!T24*IF($E$2="Homepower Bulk",Inputs!$H$27,PODs*ESKOM_Total_days),0)</f>
        <v>54.141666666666673</v>
      </c>
      <c r="U24" s="4">
        <f ca="1">IFERROR('Rates Table'!U24*IF($E$2="Homepower Bulk",Inputs!$H$27,PODs*ESKOM_Total_days),0)</f>
        <v>0</v>
      </c>
      <c r="V24" s="4">
        <f ca="1">IFERROR('Rates Table'!V24*IF($E$2="Homepower Bulk",Inputs!$H$27,PODs*ESKOM_Total_days),0)</f>
        <v>0</v>
      </c>
      <c r="W24" s="4">
        <f ca="1">IFERROR('Rates Table'!W24*IF($E$2="Homepower Bulk",Inputs!$H$27,PODs*ESKOM_Total_days),0)</f>
        <v>0</v>
      </c>
      <c r="X24" s="4">
        <f ca="1">IFERROR('Rates Table'!X24*IF($E$2="Homepower Bulk",Inputs!$H$27,PODs*ESKOM_Total_days),0)</f>
        <v>0</v>
      </c>
      <c r="Y24" s="4">
        <f ca="1">IFERROR('Rates Table'!Y24*IF($E$2="Homepower Bulk",Inputs!$H$27,PODs*ESKOM_Total_days),0)</f>
        <v>0</v>
      </c>
      <c r="Z24" s="4">
        <f ca="1">IFERROR('Rates Table'!Z24*IF($E$2="Homepower Bulk",Inputs!$H$27,PODs*ESKOM_Total_days),0)</f>
        <v>0</v>
      </c>
      <c r="AA24" s="4">
        <f ca="1">IFERROR('Rates Table'!AA24*IF($E$2="Homepower Bulk",Inputs!$H$27,PODs*ESKOM_Total_days),0)</f>
        <v>0</v>
      </c>
      <c r="AB24" s="4">
        <f ca="1">IFERROR('Rates Table'!AB24*IF($E$2="Homepower Bulk",Inputs!$H$27,PODs*ESKOM_Total_days),0)</f>
        <v>0</v>
      </c>
      <c r="AC24" s="4">
        <f ca="1">IFERROR('Rates Table'!AC24*IF($E$2="Homepower Bulk",Inputs!$H$27,PODs*ESKOM_Total_days),0)</f>
        <v>0</v>
      </c>
      <c r="AD24" s="4">
        <f ca="1">IFERROR('Rates Table'!AD24*IF($E$2="Homepower Bulk",Inputs!$H$27,PODs*ESKOM_Total_days),0)</f>
        <v>0</v>
      </c>
      <c r="AE24" s="4">
        <f ca="1">IFERROR('Rates Table'!AE24*IF($E$2="Homepower Bulk",Inputs!$H$27,PODs*ESKOM_Total_days),0)</f>
        <v>0</v>
      </c>
      <c r="AF24" s="4">
        <f ca="1">IFERROR('Rates Table'!AF24*IF($E$2="Homepower Bulk",Inputs!$H$27,PODs*ESKOM_Total_days),0)</f>
        <v>21.9</v>
      </c>
      <c r="AG24" s="4">
        <f ca="1">IFERROR('Rates Table'!AG24*IF($E$2="Homepower Bulk",Inputs!$H$27,PODs*ESKOM_Total_days),0)</f>
        <v>38.62916666666667</v>
      </c>
      <c r="AH24" s="4">
        <f ca="1">IFERROR('Rates Table'!AH24*IF($E$2="Homepower Bulk",Inputs!$H$27,PODs*ESKOM_Total_days),0)</f>
        <v>94.291666666666671</v>
      </c>
      <c r="AI24" s="4">
        <f ca="1">IFERROR('Rates Table'!AI24*IF($E$2="Homepower Bulk",Inputs!$H$27,PODs*ESKOM_Total_days),0)</f>
        <v>14.295833333333333</v>
      </c>
      <c r="AK24" s="43">
        <f t="shared" ca="1" si="28"/>
        <v>91.25</v>
      </c>
      <c r="AL24" s="4">
        <f ca="1">IFERROR('Rates Table'!AL24*IF($E$2="Homepower Bulk",Inputs!$H$27,PODs*ESKOM_Total_days),0)</f>
        <v>91.25</v>
      </c>
      <c r="AM24" s="4">
        <f ca="1">IFERROR('Rates Table'!AM24*IF($E$2="Homepower Bulk",Inputs!$H$27,PODs*ESKOM_Total_days),0)</f>
        <v>136.26666666666668</v>
      </c>
      <c r="AN24" s="4">
        <f ca="1">IFERROR('Rates Table'!AN24*IF($E$2="Homepower Bulk",Inputs!$H$27,PODs*ESKOM_Total_days),0)</f>
        <v>340.05833333333334</v>
      </c>
      <c r="AO24" s="4">
        <f ca="1">IFERROR('Rates Table'!AO24*IF($E$2="Homepower Bulk",Inputs!$H$27,PODs*ESKOM_Total_days),0)</f>
        <v>0</v>
      </c>
      <c r="AP24" s="4">
        <f ca="1">IFERROR('Rates Table'!AP24*IF($E$2="Homepower Bulk",Inputs!$H$27,PODs*ESKOM_Total_days),0)</f>
        <v>0</v>
      </c>
      <c r="AQ24" s="4">
        <f ca="1">IFERROR('Rates Table'!AQ24*IF($E$2="Homepower Bulk",Inputs!$H$27,PODs*ESKOM_Total_days),0)</f>
        <v>0</v>
      </c>
      <c r="AR24" s="4">
        <f ca="1">IFERROR('Rates Table'!AR24*IF($E$2="Homepower Bulk",Inputs!$H$27,PODs*ESKOM_Total_days),0)</f>
        <v>33.154166666666669</v>
      </c>
      <c r="AS24" s="4">
        <f ca="1">IFERROR('Rates Table'!AS24*IF($E$2="Homepower Bulk",Inputs!$H$27,PODs*ESKOM_Total_days),0)</f>
        <v>58.704166666666666</v>
      </c>
      <c r="AT24" s="4">
        <f ca="1">IFERROR('Rates Table'!AT24*IF($E$2="Homepower Bulk",Inputs!$H$27,PODs*ESKOM_Total_days),0)</f>
        <v>142.95833333333334</v>
      </c>
      <c r="AU24" s="4">
        <f ca="1">IFERROR('Rates Table'!AU24*IF($E$2="Homepower Bulk",Inputs!$H$27,PODs*ESKOM_Total_days),0)</f>
        <v>21.595833333333331</v>
      </c>
      <c r="AV24" s="4">
        <f ca="1">IFERROR('Rates Table'!AV24*IF($E$2="Homepower Bulk",Inputs!$H$27,PODs*ESKOM_Total_days),0)</f>
        <v>220.52083333333334</v>
      </c>
      <c r="AW24" s="4">
        <f ca="1">IFERROR('Rates Table'!AW24*IF($E$2="Homepower Bulk",Inputs!$H$27,PODs*ESKOM_Total_days),0)</f>
        <v>125.01250000000002</v>
      </c>
      <c r="AX24" s="4">
        <f ca="1">IFERROR('Rates Table'!AX24*IF($E$2="Homepower Bulk",Inputs!$H$27,PODs*ESKOM_Total_days),0)</f>
        <v>247.89583333333334</v>
      </c>
      <c r="AY24" s="4">
        <f ca="1">IFERROR('Rates Table'!AY24*IF($E$2="Homepower Bulk",Inputs!$H$27,PODs*ESKOM_Total_days),0)</f>
        <v>484.53750000000002</v>
      </c>
      <c r="AZ24" s="4">
        <f ca="1">IFERROR('Rates Table'!AZ24*IF($E$2="Homepower Bulk",Inputs!$H$27,PODs*ESKOM_Total_days),0)</f>
        <v>82.125000000000014</v>
      </c>
      <c r="BA24" s="4">
        <f ca="1">IFERROR('Rates Table'!BA24*IF($E$2="Homepower Bulk",Inputs!$H$27,PODs*ESKOM_Total_days),0)</f>
        <v>0</v>
      </c>
      <c r="BB24" s="4">
        <f ca="1">IFERROR('Rates Table'!BB24*IF($E$2="Homepower Bulk",Inputs!$H$27,PODs*ESKOM_Total_days),0)</f>
        <v>0</v>
      </c>
      <c r="BC24" s="4">
        <f ca="1">IFERROR('Rates Table'!BC24*IF($E$2="Homepower Bulk",Inputs!$H$27,PODs*ESKOM_Total_days),0)</f>
        <v>0</v>
      </c>
      <c r="BD24" s="4">
        <f ca="1">IFERROR('Rates Table'!BD24*IF($E$2="Homepower Bulk",Inputs!$H$27,PODs*ESKOM_Total_days),0)</f>
        <v>0</v>
      </c>
      <c r="BE24" s="4">
        <f ca="1">IFERROR('Rates Table'!BE24*IF($E$2="Homepower Bulk",Inputs!$H$27,PODs*ESKOM_Total_days),0)</f>
        <v>0</v>
      </c>
      <c r="BF24" s="4">
        <f ca="1">IFERROR('Rates Table'!BF24*IF($E$2="Homepower Bulk",Inputs!$H$27,PODs*ESKOM_Total_days),0)</f>
        <v>0</v>
      </c>
      <c r="BG24" s="4">
        <f ca="1">IFERROR('Rates Table'!BG24*IF($E$2="Homepower Bulk",Inputs!$H$27,PODs*ESKOM_Total_days),0)</f>
        <v>0</v>
      </c>
      <c r="BH24" s="4">
        <f ca="1">IFERROR('Rates Table'!BH24*IF($E$2="Homepower Bulk",Inputs!$H$27,PODs*ESKOM_Total_days),0)</f>
        <v>0</v>
      </c>
      <c r="BI24" s="4">
        <f ca="1">IFERROR('Rates Table'!BI24*IF($E$2="Homepower Bulk",Inputs!$H$27,PODs*ESKOM_Total_days),0)</f>
        <v>0</v>
      </c>
      <c r="BJ24" s="4">
        <f ca="1">IFERROR('Rates Table'!BJ24*IF($E$2="Homepower Bulk",Inputs!$H$27,PODs*ESKOM_Total_days),0)</f>
        <v>0</v>
      </c>
      <c r="BK24" s="4">
        <f ca="1">IFERROR('Rates Table'!BK24*IF($E$2="Homepower Bulk",Inputs!$H$27,PODs*ESKOM_Total_days),0)</f>
        <v>0</v>
      </c>
      <c r="BL24" s="4">
        <f ca="1">IFERROR('Rates Table'!BL24*IF($E$2="Homepower Bulk",Inputs!$H$27,PODs*ESKOM_Total_days),0)</f>
        <v>33.154166666666669</v>
      </c>
      <c r="BM24" s="4">
        <f ca="1">IFERROR('Rates Table'!BM24*IF($E$2="Homepower Bulk",Inputs!$H$27,PODs*ESKOM_Total_days),0)</f>
        <v>58.704166666666666</v>
      </c>
      <c r="BN24" s="4">
        <f ca="1">IFERROR('Rates Table'!BN24*IF($E$2="Homepower Bulk",Inputs!$H$27,PODs*ESKOM_Total_days),0)</f>
        <v>142.95833333333334</v>
      </c>
      <c r="BO24" s="4">
        <f ca="1">IFERROR('Rates Table'!BO24*IF($E$2="Homepower Bulk",Inputs!$H$27,PODs*ESKOM_Total_days),0)</f>
        <v>21.595833333333331</v>
      </c>
    </row>
    <row r="25" spans="2:67">
      <c r="C25" s="153" t="s">
        <v>374</v>
      </c>
      <c r="D25" s="154" t="s">
        <v>80</v>
      </c>
      <c r="E25" s="43">
        <f t="shared" ca="1" si="27"/>
        <v>0</v>
      </c>
      <c r="F25" s="4">
        <f>IFERROR('Rates Table'!F25*(SPU_Annual_Total_Energy),0)/100</f>
        <v>0</v>
      </c>
      <c r="G25" s="4">
        <f>IFERROR('Rates Table'!G25*(SPU_Annual_Total_Energy),0)/100</f>
        <v>0</v>
      </c>
      <c r="H25" s="4">
        <f>IFERROR('Rates Table'!H25*(SPU_Annual_Total_Energy),0)/100</f>
        <v>0</v>
      </c>
      <c r="I25" s="4">
        <f>IFERROR('Rates Table'!I25*(SPU_Annual_Total_Energy),0)/100</f>
        <v>0</v>
      </c>
      <c r="J25" s="4">
        <f>IFERROR('Rates Table'!J25*(SPU_Annual_Total_Energy),0)/100</f>
        <v>0</v>
      </c>
      <c r="K25" s="4">
        <f>IFERROR('Rates Table'!K25*(SPU_Annual_Total_Energy),0)/100</f>
        <v>0</v>
      </c>
      <c r="L25" s="4">
        <f>IFERROR('Rates Table'!L25*(SPU_Annual_Total_Energy),0)/100</f>
        <v>0</v>
      </c>
      <c r="M25" s="4">
        <f>IFERROR('Rates Table'!M25*(SPU_Annual_Total_Energy),0)/100</f>
        <v>0</v>
      </c>
      <c r="N25" s="4">
        <f>IFERROR('Rates Table'!N25*(SPU_Annual_Total_Energy),0)/100</f>
        <v>0</v>
      </c>
      <c r="O25" s="4">
        <f>IFERROR('Rates Table'!O25*(SPU_Annual_Total_Energy),0)/100</f>
        <v>0</v>
      </c>
      <c r="P25" s="4">
        <f>IFERROR('Rates Table'!P25*(SPU_Annual_Total_Energy),0)/100</f>
        <v>0</v>
      </c>
      <c r="Q25" s="4">
        <f>IFERROR('Rates Table'!Q25*(SPU_Annual_Total_Energy),0)/100</f>
        <v>0</v>
      </c>
      <c r="R25" s="4">
        <f>IFERROR('Rates Table'!R25*(SPU_Annual_Total_Energy),0)/100</f>
        <v>0</v>
      </c>
      <c r="S25" s="4">
        <f>IFERROR('Rates Table'!S25*(SPU_Annual_Total_Energy),0)/100</f>
        <v>0</v>
      </c>
      <c r="T25" s="4">
        <f>IFERROR('Rates Table'!T25*(SPU_Annual_Total_Energy),0)/100</f>
        <v>0</v>
      </c>
      <c r="U25" s="4">
        <f>IFERROR('Rates Table'!U25*(SPU_Annual_Total_Energy),0)/100</f>
        <v>0</v>
      </c>
      <c r="V25" s="4">
        <f>IFERROR('Rates Table'!V25*(SPU_Annual_Total_Energy),0)/100</f>
        <v>0</v>
      </c>
      <c r="W25" s="4">
        <f>IFERROR('Rates Table'!W25*(SPU_Annual_Total_Energy),0)/100</f>
        <v>0</v>
      </c>
      <c r="X25" s="4">
        <f>IFERROR('Rates Table'!X25*(SPU_Annual_Total_Energy),0)/100</f>
        <v>0</v>
      </c>
      <c r="Y25" s="4">
        <f>IFERROR('Rates Table'!Y25*(SPU_Annual_Total_Energy),0)/100</f>
        <v>0</v>
      </c>
      <c r="Z25" s="4">
        <f>IFERROR('Rates Table'!Z25*(SPU_Annual_Total_Energy),0)/100</f>
        <v>0</v>
      </c>
      <c r="AA25" s="4"/>
      <c r="AB25" s="4">
        <f>IFERROR('Rates Table'!AB25*(SPU_Annual_Total_Energy),0)/100</f>
        <v>0</v>
      </c>
      <c r="AC25" s="4">
        <f>IFERROR('Rates Table'!AC25*(SPU_Annual_Total_Energy),0)/100</f>
        <v>0</v>
      </c>
      <c r="AD25" s="4">
        <f>IFERROR('Rates Table'!AD25*(SPU_Annual_Total_Energy),0)/100</f>
        <v>0</v>
      </c>
      <c r="AE25" s="4">
        <f>IFERROR('Rates Table'!AE25*(SPU_Annual_Total_Energy),0)/100</f>
        <v>0</v>
      </c>
      <c r="AF25" s="4">
        <f>IFERROR('Rates Table'!AF25*(Homeflex_Total_Energy),0)/100</f>
        <v>0</v>
      </c>
      <c r="AG25" s="4">
        <f>IFERROR('Rates Table'!AG25*(Homeflex_Total_Energy),0)/100</f>
        <v>0</v>
      </c>
      <c r="AH25" s="4">
        <f>IFERROR('Rates Table'!AH25*(Homeflex_Total_Energy),0)/100</f>
        <v>0</v>
      </c>
      <c r="AI25" s="4">
        <f>IFERROR('Rates Table'!AI25*(Homeflex_Total_Energy),0)/100</f>
        <v>0</v>
      </c>
      <c r="AK25" s="43">
        <f t="shared" ca="1" si="28"/>
        <v>0</v>
      </c>
      <c r="AL25" s="4">
        <f>IFERROR('Rates Table'!AL25*(SPU_Annual_Total_Energy),0)/100</f>
        <v>0</v>
      </c>
      <c r="AM25" s="4">
        <f>IFERROR('Rates Table'!AM25*(SPU_Annual_Total_Energy),0)/100</f>
        <v>0</v>
      </c>
      <c r="AN25" s="4">
        <f>IFERROR('Rates Table'!AN25*(SPU_Annual_Total_Energy),0)/100</f>
        <v>0</v>
      </c>
      <c r="AO25" s="4">
        <f>IFERROR('Rates Table'!AO25*(SPU_Annual_Total_Energy),0)/100</f>
        <v>0</v>
      </c>
      <c r="AP25" s="4">
        <f>IFERROR('Rates Table'!AP25*(SPU_Annual_Total_Energy),0)/100</f>
        <v>0</v>
      </c>
      <c r="AQ25" s="4">
        <f>IFERROR('Rates Table'!AQ25*(SPU_Annual_Total_Energy),0)/100</f>
        <v>0</v>
      </c>
      <c r="AR25" s="4">
        <f>IFERROR('Rates Table'!AR25*(SPU_Annual_Total_Energy),0)/100</f>
        <v>0</v>
      </c>
      <c r="AS25" s="4">
        <f>IFERROR('Rates Table'!AS25*(SPU_Annual_Total_Energy),0)/100</f>
        <v>0</v>
      </c>
      <c r="AT25" s="4">
        <f>IFERROR('Rates Table'!AT25*(SPU_Annual_Total_Energy),0)/100</f>
        <v>0</v>
      </c>
      <c r="AU25" s="4">
        <f>IFERROR('Rates Table'!AU25*(SPU_Annual_Total_Energy),0)/100</f>
        <v>0</v>
      </c>
      <c r="AV25" s="4">
        <f>IFERROR('Rates Table'!AV25*(SPU_Annual_Total_Energy),0)/100</f>
        <v>0</v>
      </c>
      <c r="AW25" s="4">
        <f>IFERROR('Rates Table'!AW25*(SPU_Annual_Total_Energy),0)/100</f>
        <v>0</v>
      </c>
      <c r="AX25" s="4">
        <f>IFERROR('Rates Table'!AX25*(SPU_Annual_Total_Energy),0)/100</f>
        <v>0</v>
      </c>
      <c r="AY25" s="4">
        <f>IFERROR('Rates Table'!AY25*(SPU_Annual_Total_Energy),0)/100</f>
        <v>0</v>
      </c>
      <c r="AZ25" s="4">
        <f>IFERROR('Rates Table'!AZ25*(SPU_Annual_Total_Energy),0)/100</f>
        <v>0</v>
      </c>
      <c r="BA25" s="4">
        <f>IFERROR('Rates Table'!BA25*(SPU_Annual_Total_Energy),0)/100</f>
        <v>0</v>
      </c>
      <c r="BB25" s="4">
        <f>IFERROR('Rates Table'!BB25*(SPU_Annual_Total_Energy),0)/100</f>
        <v>0</v>
      </c>
      <c r="BC25" s="4">
        <f>IFERROR('Rates Table'!BC25*(SPU_Annual_Total_Energy),0)/100</f>
        <v>0</v>
      </c>
      <c r="BD25" s="4">
        <f>IFERROR('Rates Table'!BD25*(SPU_Annual_Total_Energy),0)/100</f>
        <v>0</v>
      </c>
      <c r="BE25" s="4">
        <f>IFERROR('Rates Table'!BE25*(SPU_Annual_Total_Energy),0)/100</f>
        <v>0</v>
      </c>
      <c r="BF25" s="4">
        <f>IFERROR('Rates Table'!BF25*(SPU_Annual_Total_Energy),0)/100</f>
        <v>0</v>
      </c>
      <c r="BG25" s="4"/>
      <c r="BH25" s="4">
        <f>IFERROR('Rates Table'!BH25*(SPU_Annual_Total_Energy),0)/100</f>
        <v>0</v>
      </c>
      <c r="BI25" s="4">
        <f>IFERROR('Rates Table'!BI25*(SPU_Annual_Total_Energy),0)/100</f>
        <v>0</v>
      </c>
      <c r="BJ25" s="4">
        <f>IFERROR('Rates Table'!BJ25*(SPU_Annual_Total_Energy),0)/100</f>
        <v>0</v>
      </c>
      <c r="BK25" s="4">
        <f>IFERROR('Rates Table'!BK25*(SPU_Annual_Total_Energy),0)/100</f>
        <v>0</v>
      </c>
      <c r="BL25" s="4">
        <f>IFERROR('Rates Table'!BL25*(Homeflex_Total_Energy),0)/100</f>
        <v>0</v>
      </c>
      <c r="BM25" s="4">
        <f>IFERROR('Rates Table'!BM25*(Homeflex_Total_Energy),0)/100</f>
        <v>0</v>
      </c>
      <c r="BN25" s="4">
        <f>IFERROR('Rates Table'!BN25*(Homeflex_Total_Energy),0)/100</f>
        <v>0</v>
      </c>
      <c r="BO25" s="4">
        <f>IFERROR('Rates Table'!BO25*(Homeflex_Total_Energy),0)/100</f>
        <v>0</v>
      </c>
    </row>
    <row r="26" spans="2:67" ht="12" customHeight="1"/>
    <row r="27" spans="2:67">
      <c r="B27" s="6" t="s">
        <v>83</v>
      </c>
      <c r="C27" s="6"/>
      <c r="D27" s="5"/>
      <c r="E27" s="5">
        <f ca="1">SUM(E18:E25)</f>
        <v>60.225000000000001</v>
      </c>
      <c r="F27" s="5">
        <f t="shared" ref="F27:AI27" ca="1" si="29">SUM(F18:F25)</f>
        <v>60.225000000000001</v>
      </c>
      <c r="G27" s="5">
        <f t="shared" ca="1" si="29"/>
        <v>89.729166666666671</v>
      </c>
      <c r="H27" s="5">
        <f t="shared" ca="1" si="29"/>
        <v>224.17083333333335</v>
      </c>
      <c r="I27" s="5">
        <f t="shared" ca="1" si="29"/>
        <v>0</v>
      </c>
      <c r="J27" s="5">
        <f t="shared" ca="1" si="29"/>
        <v>0</v>
      </c>
      <c r="K27" s="5">
        <f t="shared" ca="1" si="29"/>
        <v>0</v>
      </c>
      <c r="L27" s="5">
        <f t="shared" ca="1" si="29"/>
        <v>21.9</v>
      </c>
      <c r="M27" s="5">
        <f t="shared" ca="1" si="29"/>
        <v>38.62916666666667</v>
      </c>
      <c r="N27" s="5">
        <f t="shared" ca="1" si="29"/>
        <v>94.291666666666671</v>
      </c>
      <c r="O27" s="5">
        <f t="shared" ca="1" si="29"/>
        <v>14.295833333333333</v>
      </c>
      <c r="P27" s="5">
        <f t="shared" ca="1" si="29"/>
        <v>145.39166666666668</v>
      </c>
      <c r="Q27" s="5">
        <f t="shared" ca="1" si="29"/>
        <v>82.429166666666674</v>
      </c>
      <c r="R27" s="5">
        <f t="shared" ca="1" si="29"/>
        <v>163.33750000000001</v>
      </c>
      <c r="S27" s="5">
        <f t="shared" ca="1" si="29"/>
        <v>319.375</v>
      </c>
      <c r="T27" s="5">
        <f t="shared" ca="1" si="29"/>
        <v>54.141666666666673</v>
      </c>
      <c r="U27" s="5">
        <f t="shared" ca="1" si="29"/>
        <v>0</v>
      </c>
      <c r="V27" s="5">
        <f t="shared" ca="1" si="29"/>
        <v>0</v>
      </c>
      <c r="W27" s="5">
        <f t="shared" ca="1" si="29"/>
        <v>0</v>
      </c>
      <c r="X27" s="5">
        <f t="shared" ca="1" si="29"/>
        <v>0</v>
      </c>
      <c r="Y27" s="5">
        <f t="shared" ca="1" si="29"/>
        <v>0</v>
      </c>
      <c r="Z27" s="5">
        <f ca="1">SUM(Z18:Z25)</f>
        <v>0</v>
      </c>
      <c r="AA27" s="5"/>
      <c r="AB27" s="5">
        <f t="shared" ref="AB27:AE27" ca="1" si="30">SUM(AB18:AB25)</f>
        <v>0</v>
      </c>
      <c r="AC27" s="5">
        <f t="shared" ca="1" si="30"/>
        <v>0</v>
      </c>
      <c r="AD27" s="5">
        <f t="shared" ca="1" si="30"/>
        <v>0</v>
      </c>
      <c r="AE27" s="5">
        <f t="shared" ca="1" si="30"/>
        <v>0</v>
      </c>
      <c r="AF27" s="5">
        <f t="shared" ca="1" si="29"/>
        <v>21.9</v>
      </c>
      <c r="AG27" s="5">
        <f t="shared" ca="1" si="29"/>
        <v>38.62916666666667</v>
      </c>
      <c r="AH27" s="5">
        <f t="shared" ca="1" si="29"/>
        <v>94.291666666666671</v>
      </c>
      <c r="AI27" s="5">
        <f t="shared" ca="1" si="29"/>
        <v>14.295833333333333</v>
      </c>
      <c r="AK27" s="5">
        <f ca="1">SUM(AK18:AK25)</f>
        <v>91.25</v>
      </c>
      <c r="AL27" s="5">
        <f t="shared" ref="AL27:BO27" ca="1" si="31">SUM(AL18:AL25)</f>
        <v>91.25</v>
      </c>
      <c r="AM27" s="5">
        <f t="shared" ca="1" si="31"/>
        <v>136.26666666666668</v>
      </c>
      <c r="AN27" s="5">
        <f t="shared" ca="1" si="31"/>
        <v>340.05833333333334</v>
      </c>
      <c r="AO27" s="5">
        <f t="shared" ca="1" si="31"/>
        <v>0</v>
      </c>
      <c r="AP27" s="5">
        <f t="shared" ca="1" si="31"/>
        <v>0</v>
      </c>
      <c r="AQ27" s="5">
        <f t="shared" ca="1" si="31"/>
        <v>0</v>
      </c>
      <c r="AR27" s="5">
        <f t="shared" ca="1" si="31"/>
        <v>33.154166666666669</v>
      </c>
      <c r="AS27" s="5">
        <f t="shared" ca="1" si="31"/>
        <v>58.704166666666666</v>
      </c>
      <c r="AT27" s="5">
        <f t="shared" ca="1" si="31"/>
        <v>142.95833333333334</v>
      </c>
      <c r="AU27" s="5">
        <f t="shared" ca="1" si="31"/>
        <v>21.595833333333331</v>
      </c>
      <c r="AV27" s="5">
        <f t="shared" ca="1" si="31"/>
        <v>220.52083333333334</v>
      </c>
      <c r="AW27" s="5">
        <f t="shared" ca="1" si="31"/>
        <v>125.01250000000002</v>
      </c>
      <c r="AX27" s="5">
        <f t="shared" ca="1" si="31"/>
        <v>247.89583333333334</v>
      </c>
      <c r="AY27" s="5">
        <f t="shared" ca="1" si="31"/>
        <v>484.53750000000002</v>
      </c>
      <c r="AZ27" s="5">
        <f t="shared" ca="1" si="31"/>
        <v>82.125000000000014</v>
      </c>
      <c r="BA27" s="5">
        <f t="shared" ca="1" si="31"/>
        <v>0</v>
      </c>
      <c r="BB27" s="5">
        <f t="shared" ca="1" si="31"/>
        <v>0</v>
      </c>
      <c r="BC27" s="5">
        <f t="shared" ca="1" si="31"/>
        <v>0</v>
      </c>
      <c r="BD27" s="5">
        <f t="shared" ca="1" si="31"/>
        <v>0</v>
      </c>
      <c r="BE27" s="5">
        <f t="shared" ca="1" si="31"/>
        <v>0</v>
      </c>
      <c r="BF27" s="5">
        <f ca="1">SUM(BF18:BF25)</f>
        <v>0</v>
      </c>
      <c r="BG27" s="5"/>
      <c r="BH27" s="5">
        <f t="shared" ref="BH27:BJ27" ca="1" si="32">SUM(BH18:BH25)</f>
        <v>0</v>
      </c>
      <c r="BI27" s="5">
        <f t="shared" ca="1" si="32"/>
        <v>0</v>
      </c>
      <c r="BJ27" s="5">
        <f t="shared" ca="1" si="32"/>
        <v>0</v>
      </c>
      <c r="BK27" s="5">
        <f t="shared" ref="BK27" ca="1" si="33">SUM(BK18:BK25)</f>
        <v>0</v>
      </c>
      <c r="BL27" s="5">
        <f t="shared" ca="1" si="31"/>
        <v>33.154166666666669</v>
      </c>
      <c r="BM27" s="5">
        <f t="shared" ca="1" si="31"/>
        <v>58.704166666666666</v>
      </c>
      <c r="BN27" s="5">
        <f t="shared" ca="1" si="31"/>
        <v>142.95833333333334</v>
      </c>
      <c r="BO27" s="5">
        <f t="shared" ca="1" si="31"/>
        <v>21.595833333333331</v>
      </c>
    </row>
    <row r="29" spans="2:67" ht="22.8">
      <c r="B29" s="17" t="s">
        <v>93</v>
      </c>
      <c r="C29" s="17"/>
      <c r="D29" s="16" t="s">
        <v>81</v>
      </c>
      <c r="E29" s="16" t="str">
        <f>E$8</f>
        <v>2025/26 Rates</v>
      </c>
      <c r="F29" s="16" t="str">
        <f t="shared" ref="F29:AI29" si="34">F$8</f>
        <v>2025/26 Rates</v>
      </c>
      <c r="G29" s="16" t="str">
        <f t="shared" si="34"/>
        <v>2025/26 Rates</v>
      </c>
      <c r="H29" s="16" t="str">
        <f t="shared" si="34"/>
        <v>2025/26 Rates</v>
      </c>
      <c r="I29" s="16" t="str">
        <f t="shared" si="34"/>
        <v>2025/26 Rates</v>
      </c>
      <c r="J29" s="16" t="str">
        <f t="shared" si="34"/>
        <v>2025/26 Rates</v>
      </c>
      <c r="K29" s="16" t="str">
        <f t="shared" si="34"/>
        <v>2025/26 Rates</v>
      </c>
      <c r="L29" s="16" t="str">
        <f t="shared" si="34"/>
        <v>2025/26 Rates</v>
      </c>
      <c r="M29" s="16" t="str">
        <f t="shared" si="34"/>
        <v>2025/26 Rates</v>
      </c>
      <c r="N29" s="16" t="str">
        <f t="shared" si="34"/>
        <v>2025/26 Rates</v>
      </c>
      <c r="O29" s="16" t="str">
        <f t="shared" si="34"/>
        <v>2025/26 Rates</v>
      </c>
      <c r="P29" s="16" t="str">
        <f t="shared" si="34"/>
        <v>2025/26 Rates</v>
      </c>
      <c r="Q29" s="16" t="str">
        <f t="shared" si="34"/>
        <v>2025/26 Rates</v>
      </c>
      <c r="R29" s="16" t="str">
        <f t="shared" si="34"/>
        <v>2025/26 Rates</v>
      </c>
      <c r="S29" s="16" t="str">
        <f t="shared" si="34"/>
        <v>2025/26 Rates</v>
      </c>
      <c r="T29" s="16" t="str">
        <f t="shared" si="34"/>
        <v>2025/26 Rates</v>
      </c>
      <c r="U29" s="16" t="str">
        <f t="shared" si="34"/>
        <v>2025/26 Rates</v>
      </c>
      <c r="V29" s="16" t="str">
        <f t="shared" si="34"/>
        <v>2025/26 Rates</v>
      </c>
      <c r="W29" s="16" t="str">
        <f t="shared" si="34"/>
        <v>2025/26 Rates</v>
      </c>
      <c r="X29" s="16" t="str">
        <f t="shared" si="34"/>
        <v>2025/26 Rates</v>
      </c>
      <c r="Y29" s="16" t="str">
        <f t="shared" si="34"/>
        <v>2025/26 Rates</v>
      </c>
      <c r="Z29" s="16" t="str">
        <f t="shared" si="34"/>
        <v>2025/26 Rates</v>
      </c>
      <c r="AA29" s="16" t="str">
        <f t="shared" si="34"/>
        <v>2025/26 Rates</v>
      </c>
      <c r="AB29" s="16" t="str">
        <f t="shared" si="34"/>
        <v>2025/26 Rates</v>
      </c>
      <c r="AC29" s="16" t="str">
        <f t="shared" si="34"/>
        <v>2025/26 Rates</v>
      </c>
      <c r="AD29" s="16" t="str">
        <f t="shared" si="34"/>
        <v>2025/26 Rates</v>
      </c>
      <c r="AE29" s="16" t="str">
        <f t="shared" si="34"/>
        <v>2025/26 Rates</v>
      </c>
      <c r="AF29" s="16" t="str">
        <f t="shared" si="34"/>
        <v>2025/26 Rates</v>
      </c>
      <c r="AG29" s="16" t="str">
        <f t="shared" si="34"/>
        <v>2025/26 Rates</v>
      </c>
      <c r="AH29" s="16" t="str">
        <f t="shared" si="34"/>
        <v>2025/26 Rates</v>
      </c>
      <c r="AI29" s="16" t="str">
        <f t="shared" si="34"/>
        <v>2025/26 Rates</v>
      </c>
      <c r="AK29" s="16" t="str">
        <f>AK$8</f>
        <v>2026/27 Rates</v>
      </c>
      <c r="AL29" s="16" t="str">
        <f t="shared" ref="AL29:BO29" si="35">AL$8</f>
        <v>2026/27 Rates</v>
      </c>
      <c r="AM29" s="16" t="str">
        <f t="shared" si="35"/>
        <v>2026/27 Rates</v>
      </c>
      <c r="AN29" s="16" t="str">
        <f t="shared" si="35"/>
        <v>2026/27 Rates</v>
      </c>
      <c r="AO29" s="16" t="str">
        <f t="shared" si="35"/>
        <v>2026/27 Rates</v>
      </c>
      <c r="AP29" s="16" t="str">
        <f t="shared" si="35"/>
        <v>2026/27 Rates</v>
      </c>
      <c r="AQ29" s="16" t="str">
        <f t="shared" si="35"/>
        <v>2026/27 Rates</v>
      </c>
      <c r="AR29" s="16" t="str">
        <f t="shared" si="35"/>
        <v>2026/27 Rates</v>
      </c>
      <c r="AS29" s="16" t="str">
        <f t="shared" si="35"/>
        <v>2026/27 Rates</v>
      </c>
      <c r="AT29" s="16" t="str">
        <f t="shared" si="35"/>
        <v>2026/27 Rates</v>
      </c>
      <c r="AU29" s="16" t="str">
        <f t="shared" si="35"/>
        <v>2026/27 Rates</v>
      </c>
      <c r="AV29" s="16" t="str">
        <f t="shared" si="35"/>
        <v>2026/27 Rates</v>
      </c>
      <c r="AW29" s="16" t="str">
        <f t="shared" si="35"/>
        <v>2026/27 Rates</v>
      </c>
      <c r="AX29" s="16" t="str">
        <f t="shared" si="35"/>
        <v>2026/27 Rates</v>
      </c>
      <c r="AY29" s="16" t="str">
        <f t="shared" si="35"/>
        <v>2026/27 Rates</v>
      </c>
      <c r="AZ29" s="16" t="str">
        <f t="shared" si="35"/>
        <v>2026/27 Rates</v>
      </c>
      <c r="BA29" s="16" t="str">
        <f t="shared" si="35"/>
        <v>2026/27 Rates</v>
      </c>
      <c r="BB29" s="16" t="str">
        <f t="shared" si="35"/>
        <v>2026/27 Rates</v>
      </c>
      <c r="BC29" s="16" t="str">
        <f t="shared" si="35"/>
        <v>2026/27 Rates</v>
      </c>
      <c r="BD29" s="16" t="str">
        <f t="shared" si="35"/>
        <v>2026/27 Rates</v>
      </c>
      <c r="BE29" s="16" t="str">
        <f t="shared" si="35"/>
        <v>2026/27 Rates</v>
      </c>
      <c r="BF29" s="16" t="str">
        <f t="shared" si="35"/>
        <v>2026/27 Rates</v>
      </c>
      <c r="BG29" s="16" t="str">
        <f t="shared" si="35"/>
        <v>2026/27 Rates</v>
      </c>
      <c r="BH29" s="16" t="str">
        <f t="shared" si="35"/>
        <v>2026/27 Rates</v>
      </c>
      <c r="BI29" s="16" t="str">
        <f t="shared" si="35"/>
        <v>2026/27 Rates</v>
      </c>
      <c r="BJ29" s="16" t="str">
        <f t="shared" si="35"/>
        <v>2026/27 Rates</v>
      </c>
      <c r="BK29" s="16" t="str">
        <f t="shared" si="35"/>
        <v>2026/27 Rates</v>
      </c>
      <c r="BL29" s="16" t="str">
        <f t="shared" si="35"/>
        <v>2026/27 Rates</v>
      </c>
      <c r="BM29" s="16" t="str">
        <f t="shared" si="35"/>
        <v>2026/27 Rates</v>
      </c>
      <c r="BN29" s="16" t="str">
        <f t="shared" si="35"/>
        <v>2026/27 Rates</v>
      </c>
      <c r="BO29" s="16" t="str">
        <f t="shared" si="35"/>
        <v>2026/27 Rates</v>
      </c>
    </row>
    <row r="30" spans="2:67" ht="3.9" customHeight="1"/>
    <row r="31" spans="2:67">
      <c r="C31" t="s">
        <v>255</v>
      </c>
      <c r="D31" s="21" t="s">
        <v>80</v>
      </c>
      <c r="E31" s="43">
        <f ca="1">SUMIFS(F31:AI31,$F$7:$AI$7,$F$2)</f>
        <v>0</v>
      </c>
      <c r="F31" s="4">
        <f>IFERROR(SPU_Annual_Total_Energy*'Rates Table'!F31,0)/100</f>
        <v>0</v>
      </c>
      <c r="G31" s="4">
        <f>IFERROR(SPU_Annual_Total_Energy*'Rates Table'!G31,0)/100</f>
        <v>0</v>
      </c>
      <c r="H31" s="4">
        <f>IFERROR(SPU_Annual_Total_Energy*'Rates Table'!H31,0)/100</f>
        <v>0</v>
      </c>
      <c r="I31" s="4">
        <f>IFERROR(SPU_Annual_Total_Energy*'Rates Table'!I31,0)/100</f>
        <v>0</v>
      </c>
      <c r="J31" s="4">
        <f>IFERROR(SPU_Annual_Total_Energy*'Rates Table'!J31,0)/100</f>
        <v>0</v>
      </c>
      <c r="K31" s="4">
        <f>IFERROR(SPU_Annual_Total_Energy*'Rates Table'!K31,0)/100</f>
        <v>0</v>
      </c>
      <c r="L31" s="4">
        <f>IFERROR(SPU_Annual_Total_Energy*'Rates Table'!L31,0)/100</f>
        <v>0</v>
      </c>
      <c r="M31" s="4">
        <f>IFERROR(SPU_Annual_Total_Energy*'Rates Table'!M31,0)/100</f>
        <v>0</v>
      </c>
      <c r="N31" s="4">
        <f>IFERROR(SPU_Annual_Total_Energy*'Rates Table'!N31,0)/100</f>
        <v>0</v>
      </c>
      <c r="O31" s="4">
        <f>IFERROR(SPU_Annual_Total_Energy*'Rates Table'!O31,0)/100</f>
        <v>0</v>
      </c>
      <c r="P31" s="4">
        <f>IFERROR(SPU_Annual_Total_Energy*'Rates Table'!P31,0)/100</f>
        <v>0</v>
      </c>
      <c r="Q31" s="4">
        <f>IFERROR(SPU_Annual_Total_Energy*'Rates Table'!Q31,0)/100</f>
        <v>0</v>
      </c>
      <c r="R31" s="4">
        <f>IFERROR(SPU_Annual_Total_Energy*'Rates Table'!R31,0)/100</f>
        <v>0</v>
      </c>
      <c r="S31" s="4">
        <f>IFERROR(SPU_Annual_Total_Energy*'Rates Table'!S31,0)/100</f>
        <v>0</v>
      </c>
      <c r="T31" s="4">
        <f>IFERROR(SPU_Annual_Total_Energy*'Rates Table'!T31,0)/100</f>
        <v>0</v>
      </c>
      <c r="U31" s="4">
        <f>IFERROR(SPU_Annual_Total_Energy*'Rates Table'!U31,0)/100</f>
        <v>0</v>
      </c>
      <c r="V31" s="4">
        <f>IFERROR(SPU_Annual_Total_Energy*'Rates Table'!V31,0)/100</f>
        <v>0</v>
      </c>
      <c r="W31" s="4">
        <f>IFERROR(SPU_Annual_Total_Energy*'Rates Table'!W31,0)/100</f>
        <v>0</v>
      </c>
      <c r="X31" s="4">
        <f>IFERROR(SPU_Annual_Total_Energy*'Rates Table'!X31,0)/100</f>
        <v>0</v>
      </c>
      <c r="Y31" s="4">
        <f>IFERROR(SPU_Annual_Total_Energy*'Rates Table'!Y31,0)/100</f>
        <v>0</v>
      </c>
      <c r="Z31" s="4">
        <f>IFERROR(SPU_Annual_Total_Energy*'Rates Table'!Z31,0)/100</f>
        <v>0</v>
      </c>
      <c r="AA31" s="4"/>
      <c r="AB31" s="4">
        <f>IFERROR(SPU_Annual_Total_Energy*'Rates Table'!AB31,0)/100</f>
        <v>0</v>
      </c>
      <c r="AC31" s="4">
        <f>IFERROR(SPU_Annual_Total_Energy*'Rates Table'!AC31,0)/100</f>
        <v>0</v>
      </c>
      <c r="AD31" s="4">
        <f>IFERROR(SPU_Annual_Total_Energy*'Rates Table'!AD31,0)/100</f>
        <v>0</v>
      </c>
      <c r="AE31" s="4">
        <f>IFERROR(SPU_Annual_Total_Energy*'Rates Table'!AF31,0)/100</f>
        <v>0</v>
      </c>
      <c r="AF31" s="4">
        <f>IFERROR(SPU_Annual_Total_Energy*'Rates Table'!AF31,0)/100</f>
        <v>0</v>
      </c>
      <c r="AG31" s="4">
        <f>IFERROR(SPU_Annual_Total_Energy*'Rates Table'!AG31,0)/100</f>
        <v>0</v>
      </c>
      <c r="AH31" s="4">
        <f>IFERROR(SPU_Annual_Total_Energy*'Rates Table'!AH31,0)/100</f>
        <v>0</v>
      </c>
      <c r="AI31" s="4">
        <f>IFERROR(SPU_Annual_Total_Energy*'Rates Table'!AI31,0)/100</f>
        <v>0</v>
      </c>
      <c r="AK31" s="43">
        <f ca="1">SUMIFS(AL31:BO31,$F$7:$AI$7,Selected_Tariff_ID)</f>
        <v>0</v>
      </c>
      <c r="AL31" s="4">
        <f>IFERROR(SPU_Annual_Total_Energy*'Rates Table'!AL31,0)/100</f>
        <v>0</v>
      </c>
      <c r="AM31" s="4">
        <f>IFERROR(SPU_Annual_Total_Energy*'Rates Table'!AM31,0)/100</f>
        <v>0</v>
      </c>
      <c r="AN31" s="4">
        <f>IFERROR(SPU_Annual_Total_Energy*'Rates Table'!AN31,0)/100</f>
        <v>0</v>
      </c>
      <c r="AO31" s="4">
        <f>IFERROR(SPU_Annual_Total_Energy*'Rates Table'!AO31,0)/100</f>
        <v>0</v>
      </c>
      <c r="AP31" s="4">
        <f>IFERROR(SPU_Annual_Total_Energy*'Rates Table'!AP31,0)/100</f>
        <v>0</v>
      </c>
      <c r="AQ31" s="4">
        <f>IFERROR(SPU_Annual_Total_Energy*'Rates Table'!AQ31,0)/100</f>
        <v>0</v>
      </c>
      <c r="AR31" s="4">
        <f>IFERROR(SPU_Annual_Total_Energy*'Rates Table'!AR31,0)/100</f>
        <v>0</v>
      </c>
      <c r="AS31" s="4">
        <f>IFERROR(SPU_Annual_Total_Energy*'Rates Table'!AS31,0)/100</f>
        <v>0</v>
      </c>
      <c r="AT31" s="4">
        <f>IFERROR(SPU_Annual_Total_Energy*'Rates Table'!AT31,0)/100</f>
        <v>0</v>
      </c>
      <c r="AU31" s="4">
        <f>IFERROR(SPU_Annual_Total_Energy*'Rates Table'!AU31,0)/100</f>
        <v>0</v>
      </c>
      <c r="AV31" s="4">
        <f>IFERROR(SPU_Annual_Total_Energy*'Rates Table'!AV31,0)/100</f>
        <v>0</v>
      </c>
      <c r="AW31" s="4">
        <f>IFERROR(SPU_Annual_Total_Energy*'Rates Table'!AW31,0)/100</f>
        <v>0</v>
      </c>
      <c r="AX31" s="4">
        <f>IFERROR(SPU_Annual_Total_Energy*'Rates Table'!AX31,0)/100</f>
        <v>0</v>
      </c>
      <c r="AY31" s="4">
        <f>IFERROR(SPU_Annual_Total_Energy*'Rates Table'!AY31,0)/100</f>
        <v>0</v>
      </c>
      <c r="AZ31" s="4">
        <f>IFERROR(SPU_Annual_Total_Energy*'Rates Table'!AZ31,0)/100</f>
        <v>0</v>
      </c>
      <c r="BA31" s="4">
        <f>IFERROR(SPU_Annual_Total_Energy*'Rates Table'!BA31,0)/100</f>
        <v>0</v>
      </c>
      <c r="BB31" s="4">
        <f>IFERROR(SPU_Annual_Total_Energy*'Rates Table'!BB31,0)/100</f>
        <v>0</v>
      </c>
      <c r="BC31" s="4">
        <f>IFERROR(SPU_Annual_Total_Energy*'Rates Table'!BC31,0)/100</f>
        <v>0</v>
      </c>
      <c r="BD31" s="4">
        <f>IFERROR(SPU_Annual_Total_Energy*'Rates Table'!BD31,0)/100</f>
        <v>0</v>
      </c>
      <c r="BE31" s="4">
        <f>IFERROR(SPU_Annual_Total_Energy*'Rates Table'!BE31,0)/100</f>
        <v>0</v>
      </c>
      <c r="BF31" s="4">
        <f>IFERROR(SPU_Annual_Total_Energy*'Rates Table'!BF31,0)/100</f>
        <v>0</v>
      </c>
      <c r="BG31" s="4"/>
      <c r="BH31" s="4">
        <f>IFERROR(SPU_Annual_Total_Energy*'Rates Table'!BH31,0)/100</f>
        <v>0</v>
      </c>
      <c r="BI31" s="4">
        <f>IFERROR(SPU_Annual_Total_Energy*'Rates Table'!BI31,0)/100</f>
        <v>0</v>
      </c>
      <c r="BJ31" s="4">
        <f>IFERROR(SPU_Annual_Total_Energy*'Rates Table'!BJ31,0)/100</f>
        <v>0</v>
      </c>
      <c r="BK31" s="4">
        <f>IFERROR(SPU_Annual_Total_Energy*'Rates Table'!BK31,0)/100</f>
        <v>0</v>
      </c>
      <c r="BL31" s="4">
        <f>IFERROR(Homeflex_Total_Energy*'Rates Table'!BL31,0)/100</f>
        <v>0</v>
      </c>
      <c r="BM31" s="4">
        <f>IFERROR(Homeflex_Total_Energy*'Rates Table'!BM31,0)/100</f>
        <v>0</v>
      </c>
      <c r="BN31" s="4">
        <f>IFERROR(Homeflex_Total_Energy*'Rates Table'!BN31,0)/100</f>
        <v>0</v>
      </c>
      <c r="BO31" s="4">
        <f>IFERROR(Homeflex_Total_Energy*'Rates Table'!BO31,0)/100</f>
        <v>0</v>
      </c>
    </row>
    <row r="32" spans="2:67">
      <c r="C32" t="s">
        <v>84</v>
      </c>
      <c r="D32" s="21" t="str">
        <f ca="1">IF(Table_1=1,"R/day","R/day")</f>
        <v>R/day</v>
      </c>
      <c r="E32" s="43">
        <f ca="1">SUMIFS(F32:AI32,$F$7:$AI$7,$F$2)</f>
        <v>447.125</v>
      </c>
      <c r="F32" s="4">
        <f>IFERROR('Rates Table'!F32*PODs*ESKOM_Total_days,0)</f>
        <v>447.125</v>
      </c>
      <c r="G32" s="4">
        <f>IFERROR('Rates Table'!G32*PODs*ESKOM_Total_days,0)</f>
        <v>447.125</v>
      </c>
      <c r="H32" s="4">
        <f>IFERROR('Rates Table'!H32*PODs*ESKOM_Total_days,0)</f>
        <v>447.125</v>
      </c>
      <c r="I32" s="4">
        <f>IFERROR('Rates Table'!I32*PODs*ESKOM_Total_days,0)</f>
        <v>0</v>
      </c>
      <c r="J32" s="4">
        <f>IFERROR('Rates Table'!J32*PODs*ESKOM_Total_days,0)</f>
        <v>0</v>
      </c>
      <c r="K32" s="4">
        <f>IFERROR('Rates Table'!K32*PODs*ESKOM_Total_days,0)</f>
        <v>0</v>
      </c>
      <c r="L32" s="4">
        <f>IFERROR('Rates Table'!L32*PODs*ESKOM_Total_days,0)</f>
        <v>99.462500000000006</v>
      </c>
      <c r="M32" s="4">
        <f>IFERROR('Rates Table'!M32*PODs*ESKOM_Total_days,0)</f>
        <v>99.462500000000006</v>
      </c>
      <c r="N32" s="4">
        <f>IFERROR('Rates Table'!N32*PODs*ESKOM_Total_days,0)</f>
        <v>99.462500000000006</v>
      </c>
      <c r="O32" s="4">
        <f>IFERROR('Rates Table'!O32*PODs*ESKOM_Total_days,0)</f>
        <v>99.462500000000006</v>
      </c>
      <c r="P32" s="4">
        <f>IFERROR('Rates Table'!P32*PODs*ESKOM_Total_days,0)</f>
        <v>99.462500000000006</v>
      </c>
      <c r="Q32" s="4">
        <f>IFERROR('Rates Table'!Q32*PODs*ESKOM_Total_days,0)</f>
        <v>745.20833333333337</v>
      </c>
      <c r="R32" s="4">
        <f>IFERROR('Rates Table'!R32*PODs*ESKOM_Total_days,0)</f>
        <v>745.20833333333337</v>
      </c>
      <c r="S32" s="4">
        <f>IFERROR('Rates Table'!S32*PODs*ESKOM_Total_days,0)</f>
        <v>745.20833333333337</v>
      </c>
      <c r="T32" s="4">
        <f>IFERROR('Rates Table'!T32*PODs*ESKOM_Total_days,0)</f>
        <v>0</v>
      </c>
      <c r="U32" s="4">
        <f>IFERROR('Rates Table'!U32*PODs*ESKOM_Total_days,0)</f>
        <v>2646.25</v>
      </c>
      <c r="V32" s="4">
        <f>IFERROR('Rates Table'!V32*PODs*ESKOM_Total_days,0)</f>
        <v>0</v>
      </c>
      <c r="W32" s="4">
        <f>IFERROR('Rates Table'!W32*PODs*ESKOM_Total_days,0)</f>
        <v>0</v>
      </c>
      <c r="X32" s="4">
        <f>IFERROR('Rates Table'!X32*PODs*ESKOM_Total_days,0)</f>
        <v>0</v>
      </c>
      <c r="Y32" s="4">
        <f>IFERROR('Rates Table'!Y32*PODs*ESKOM_Total_days,0)</f>
        <v>0</v>
      </c>
      <c r="Z32" s="4">
        <f>IFERROR('Rates Table'!Z32*PODs*ESKOM_Total_days,0)</f>
        <v>982.45833333333326</v>
      </c>
      <c r="AA32" s="4"/>
      <c r="AB32" s="4">
        <f>IFERROR('Rates Table'!AB32*PODs*ESKOM_Total_days,0)</f>
        <v>0</v>
      </c>
      <c r="AC32" s="4">
        <f>IFERROR('Rates Table'!AC32*PODs*ESKOM_Total_days,0)</f>
        <v>0</v>
      </c>
      <c r="AD32" s="4">
        <f>IFERROR('Rates Table'!AD32*PODs*ESKOM_Total_days,0)</f>
        <v>0</v>
      </c>
      <c r="AE32" s="4">
        <f>IFERROR('Rates Table'!AF32*PODs*ESKOM_Total_days,0)</f>
        <v>99.462500000000006</v>
      </c>
      <c r="AF32" s="4">
        <f>IFERROR('Rates Table'!AF32*PODs*ESKOM_Total_days,0)</f>
        <v>99.462500000000006</v>
      </c>
      <c r="AG32" s="4">
        <f>IFERROR('Rates Table'!AG32*PODs*ESKOM_Total_days,0)</f>
        <v>99.462500000000006</v>
      </c>
      <c r="AH32" s="4">
        <f>IFERROR('Rates Table'!AH32*PODs*ESKOM_Total_days,0)</f>
        <v>99.462500000000006</v>
      </c>
      <c r="AI32" s="4">
        <f>IFERROR('Rates Table'!AI32*PODs*ESKOM_Total_days,0)</f>
        <v>99.462500000000006</v>
      </c>
      <c r="AK32" s="43">
        <f ca="1">SUMIFS(AL32:BO32,$F$7:$AI$7,Selected_Tariff_ID)</f>
        <v>486.36250000000001</v>
      </c>
      <c r="AL32" s="4">
        <f>IFERROR('Rates Table'!AL32*PODs*ESKOM_Total_days,0)</f>
        <v>486.36250000000001</v>
      </c>
      <c r="AM32" s="4">
        <f>IFERROR('Rates Table'!AM32*PODs*ESKOM_Total_days,0)</f>
        <v>486.36250000000001</v>
      </c>
      <c r="AN32" s="4">
        <f>IFERROR('Rates Table'!AN32*PODs*ESKOM_Total_days,0)</f>
        <v>486.36250000000001</v>
      </c>
      <c r="AO32" s="4">
        <f>IFERROR('Rates Table'!AO32*PODs*ESKOM_Total_days,0)</f>
        <v>0</v>
      </c>
      <c r="AP32" s="4">
        <f>IFERROR('Rates Table'!AP32*PODs*ESKOM_Total_days,0)</f>
        <v>0</v>
      </c>
      <c r="AQ32" s="4">
        <f>IFERROR('Rates Table'!AQ32*PODs*ESKOM_Total_days,0)</f>
        <v>0</v>
      </c>
      <c r="AR32" s="4">
        <f>IFERROR('Rates Table'!AR32*PODs*ESKOM_Total_days,0)</f>
        <v>174.59166666666667</v>
      </c>
      <c r="AS32" s="4">
        <f>IFERROR('Rates Table'!AS32*PODs*ESKOM_Total_days,0)</f>
        <v>174.59166666666667</v>
      </c>
      <c r="AT32" s="4">
        <f>IFERROR('Rates Table'!AT32*PODs*ESKOM_Total_days,0)</f>
        <v>174.59166666666667</v>
      </c>
      <c r="AU32" s="4">
        <f>IFERROR('Rates Table'!AU32*PODs*ESKOM_Total_days,0)</f>
        <v>174.59166666666667</v>
      </c>
      <c r="AV32" s="4">
        <f>IFERROR('Rates Table'!AV32*PODs*ESKOM_Total_days,0)</f>
        <v>174.59166666666667</v>
      </c>
      <c r="AW32" s="4">
        <f>IFERROR('Rates Table'!AW32*PODs*ESKOM_Total_days,0)</f>
        <v>810.60416666666663</v>
      </c>
      <c r="AX32" s="4">
        <f>IFERROR('Rates Table'!AX32*PODs*ESKOM_Total_days,0)</f>
        <v>810.60416666666663</v>
      </c>
      <c r="AY32" s="4">
        <f>IFERROR('Rates Table'!AY32*PODs*ESKOM_Total_days,0)</f>
        <v>810.60416666666663</v>
      </c>
      <c r="AZ32" s="4">
        <f>IFERROR('Rates Table'!AZ32*PODs*ESKOM_Total_days,0)</f>
        <v>0</v>
      </c>
      <c r="BA32" s="4">
        <f>IFERROR('Rates Table'!BA32*PODs*ESKOM_Total_days,0)</f>
        <v>2878.0250000000001</v>
      </c>
      <c r="BB32" s="4">
        <f>IFERROR('Rates Table'!BB32*PODs*ESKOM_Total_days,0)</f>
        <v>0</v>
      </c>
      <c r="BC32" s="4">
        <f>IFERROR('Rates Table'!BC32*PODs*ESKOM_Total_days,0)</f>
        <v>0</v>
      </c>
      <c r="BD32" s="4">
        <f>IFERROR('Rates Table'!BD32*PODs*ESKOM_Total_days,0)</f>
        <v>0</v>
      </c>
      <c r="BE32" s="4">
        <f>IFERROR('Rates Table'!BE32*PODs*ESKOM_Total_days,0)</f>
        <v>0</v>
      </c>
      <c r="BF32" s="4">
        <f>IFERROR('Rates Table'!BF32*PODs*ESKOM_Total_days,0)</f>
        <v>1068.5375000000001</v>
      </c>
      <c r="BG32" s="4"/>
      <c r="BH32" s="4">
        <f>IFERROR('Rates Table'!BH32*PODs*ESKOM_Total_days,0)</f>
        <v>0</v>
      </c>
      <c r="BI32" s="4">
        <f>IFERROR('Rates Table'!BI32*PODs*ESKOM_Total_days,0)</f>
        <v>0</v>
      </c>
      <c r="BJ32" s="4">
        <f>IFERROR('Rates Table'!BJ32*PODs*ESKOM_Total_days,0)</f>
        <v>0</v>
      </c>
      <c r="BK32" s="4">
        <f>IFERROR('Rates Table'!BK32*PODs*ESKOM_Total_days,0)</f>
        <v>0</v>
      </c>
      <c r="BL32" s="4">
        <f>IFERROR('Rates Table'!BL32*PODs*ESKOM_Total_days,0)</f>
        <v>174.59166666666667</v>
      </c>
      <c r="BM32" s="4">
        <f>IFERROR('Rates Table'!BM32*PODs*ESKOM_Total_days,0)</f>
        <v>174.59166666666667</v>
      </c>
      <c r="BN32" s="4">
        <f>IFERROR('Rates Table'!BN32*PODs*ESKOM_Total_days,0)</f>
        <v>174.59166666666667</v>
      </c>
      <c r="BO32" s="4">
        <f>IFERROR('Rates Table'!BO32*PODs*ESKOM_Total_days,0)</f>
        <v>174.59166666666667</v>
      </c>
    </row>
    <row r="33" spans="2:67">
      <c r="C33" t="s">
        <v>381</v>
      </c>
      <c r="D33" s="21" t="s">
        <v>80</v>
      </c>
      <c r="E33" s="43">
        <f ca="1">SUMIFS(F33:AI33,$F$7:$AI$7,$F$2)</f>
        <v>0</v>
      </c>
      <c r="F33" s="4">
        <f>IFERROR(SPU_Annual_Total_Energy*'Rates Table'!F33,0)/100</f>
        <v>0</v>
      </c>
      <c r="G33" s="4">
        <f>IFERROR(SPU_Annual_Total_Energy*'Rates Table'!G33,0)/100</f>
        <v>0</v>
      </c>
      <c r="H33" s="4">
        <f>IFERROR(SPU_Annual_Total_Energy*'Rates Table'!H33,0)/100</f>
        <v>0</v>
      </c>
      <c r="I33" s="4">
        <f>IFERROR(SPU_Annual_Total_Energy*'Rates Table'!I33,0)/100</f>
        <v>0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K33" s="43">
        <f ca="1">SUMIFS(AL33:BO33,$F$7:$AI$7,Selected_Tariff_ID)</f>
        <v>0</v>
      </c>
      <c r="AL33" s="4">
        <f>IFERROR(SPU_Annual_Total_Energy*'Rates Table'!AL33,0)/100</f>
        <v>0</v>
      </c>
      <c r="AM33" s="4">
        <f>IFERROR(SPU_Annual_Total_Energy*'Rates Table'!AM33,0)/100</f>
        <v>0</v>
      </c>
      <c r="AN33" s="4">
        <f>IFERROR(SPU_Annual_Total_Energy*'Rates Table'!AN33,0)/100</f>
        <v>0</v>
      </c>
      <c r="AO33" s="4">
        <f>IFERROR(SPU_Annual_Total_Energy*'Rates Table'!AO33,0)/100</f>
        <v>0</v>
      </c>
      <c r="AP33" s="4">
        <f>IFERROR(SPU_Annual_Total_Energy*'Rates Table'!AP33,0)/100</f>
        <v>0</v>
      </c>
      <c r="AQ33" s="4">
        <f>IFERROR(SPU_Annual_Total_Energy*'Rates Table'!AQ33,0)/100</f>
        <v>0</v>
      </c>
      <c r="AR33" s="4">
        <f>IFERROR(SPU_Annual_Total_Energy*'Rates Table'!AR33,0)/100</f>
        <v>0</v>
      </c>
      <c r="AS33" s="4">
        <f>IFERROR(SPU_Annual_Total_Energy*'Rates Table'!AS33,0)/100</f>
        <v>0</v>
      </c>
      <c r="AT33" s="4">
        <f>IFERROR(SPU_Annual_Total_Energy*'Rates Table'!AT33,0)/100</f>
        <v>0</v>
      </c>
      <c r="AU33" s="4">
        <f>IFERROR(SPU_Annual_Total_Energy*'Rates Table'!AU33,0)/100</f>
        <v>0</v>
      </c>
      <c r="AV33" s="4">
        <f>IFERROR(SPU_Annual_Total_Energy*'Rates Table'!AV33,0)/100</f>
        <v>0</v>
      </c>
      <c r="AW33" s="4">
        <f>IFERROR(SPU_Annual_Total_Energy*'Rates Table'!AW33,0)/100</f>
        <v>0</v>
      </c>
      <c r="AX33" s="4">
        <f>IFERROR(SPU_Annual_Total_Energy*'Rates Table'!AX33,0)/100</f>
        <v>0</v>
      </c>
      <c r="AY33" s="4">
        <f>IFERROR(SPU_Annual_Total_Energy*'Rates Table'!AY33,0)/100</f>
        <v>0</v>
      </c>
      <c r="AZ33" s="4">
        <f>IFERROR(SPU_Annual_Total_Energy*'Rates Table'!AZ33,0)/100</f>
        <v>0</v>
      </c>
      <c r="BA33" s="4">
        <f>IFERROR(SPU_Annual_Total_Energy*'Rates Table'!BA33,0)/100</f>
        <v>0</v>
      </c>
      <c r="BB33" s="4">
        <f>IFERROR(SPU_Annual_Total_Energy*'Rates Table'!BB33,0)/100</f>
        <v>0</v>
      </c>
      <c r="BC33" s="4">
        <f>IFERROR(SPU_Annual_Total_Energy*'Rates Table'!BC33,0)/100</f>
        <v>0</v>
      </c>
      <c r="BD33" s="4">
        <f>IFERROR(SPU_Annual_Total_Energy*'Rates Table'!BD33,0)/100</f>
        <v>0</v>
      </c>
      <c r="BE33" s="4">
        <f>IFERROR(SPU_Annual_Total_Energy*'Rates Table'!BE33,0)/100</f>
        <v>0</v>
      </c>
      <c r="BF33" s="4">
        <f>IFERROR(SPU_Annual_Total_Energy*'Rates Table'!BF33,0)/100</f>
        <v>0</v>
      </c>
      <c r="BG33" s="4"/>
      <c r="BH33" s="4">
        <f>IFERROR(SPU_Annual_Total_Energy*'Rates Table'!BH33,0)/100</f>
        <v>0</v>
      </c>
      <c r="BI33" s="4">
        <f>IFERROR(SPU_Annual_Total_Energy*'Rates Table'!BI33,0)/100</f>
        <v>0</v>
      </c>
      <c r="BJ33" s="4">
        <f>IFERROR(SPU_Annual_Total_Energy*'Rates Table'!BJ33,0)/100</f>
        <v>0</v>
      </c>
      <c r="BK33" s="4">
        <f>IFERROR(SPU_Annual_Total_Energy*'Rates Table'!BK33,0)/100</f>
        <v>0</v>
      </c>
      <c r="BL33" s="4">
        <f>IFERROR(Homeflex_Total_Energy*'Rates Table'!BL33,0)/100</f>
        <v>0</v>
      </c>
      <c r="BM33" s="4">
        <f>IFERROR(Homeflex_Total_Energy*'Rates Table'!BM33,0)/100</f>
        <v>0</v>
      </c>
      <c r="BN33" s="4">
        <f>IFERROR(Homeflex_Total_Energy*'Rates Table'!BN33,0)/100</f>
        <v>0</v>
      </c>
      <c r="BO33" s="4">
        <f>IFERROR(Homeflex_Total_Energy*'Rates Table'!BO33,0)/100</f>
        <v>0</v>
      </c>
    </row>
    <row r="34" spans="2:67" ht="12.6" customHeight="1"/>
    <row r="35" spans="2:67">
      <c r="B35" s="6" t="s">
        <v>94</v>
      </c>
      <c r="C35" s="6"/>
      <c r="D35" s="5"/>
      <c r="E35" s="5">
        <f ca="1">SUM(E30:E33)</f>
        <v>447.125</v>
      </c>
      <c r="F35" s="5">
        <f t="shared" ref="F35:AI35" si="36">SUM(F30:F33)</f>
        <v>447.125</v>
      </c>
      <c r="G35" s="5">
        <f t="shared" si="36"/>
        <v>447.125</v>
      </c>
      <c r="H35" s="5">
        <f t="shared" si="36"/>
        <v>447.125</v>
      </c>
      <c r="I35" s="5">
        <f t="shared" si="36"/>
        <v>0</v>
      </c>
      <c r="J35" s="5">
        <f t="shared" si="36"/>
        <v>0</v>
      </c>
      <c r="K35" s="5">
        <f t="shared" si="36"/>
        <v>0</v>
      </c>
      <c r="L35" s="5">
        <f t="shared" si="36"/>
        <v>99.462500000000006</v>
      </c>
      <c r="M35" s="5">
        <f t="shared" si="36"/>
        <v>99.462500000000006</v>
      </c>
      <c r="N35" s="5">
        <f t="shared" si="36"/>
        <v>99.462500000000006</v>
      </c>
      <c r="O35" s="5">
        <f t="shared" si="36"/>
        <v>99.462500000000006</v>
      </c>
      <c r="P35" s="5">
        <f t="shared" si="36"/>
        <v>99.462500000000006</v>
      </c>
      <c r="Q35" s="5">
        <f t="shared" si="36"/>
        <v>745.20833333333337</v>
      </c>
      <c r="R35" s="5">
        <f t="shared" si="36"/>
        <v>745.20833333333337</v>
      </c>
      <c r="S35" s="5">
        <f t="shared" si="36"/>
        <v>745.20833333333337</v>
      </c>
      <c r="T35" s="5">
        <f t="shared" si="36"/>
        <v>0</v>
      </c>
      <c r="U35" s="5">
        <f t="shared" si="36"/>
        <v>2646.25</v>
      </c>
      <c r="V35" s="5">
        <f t="shared" si="36"/>
        <v>0</v>
      </c>
      <c r="W35" s="5">
        <f t="shared" si="36"/>
        <v>0</v>
      </c>
      <c r="X35" s="5">
        <f t="shared" si="36"/>
        <v>0</v>
      </c>
      <c r="Y35" s="5">
        <f t="shared" si="36"/>
        <v>0</v>
      </c>
      <c r="Z35" s="5">
        <f>SUM(Z30:Z33)</f>
        <v>982.45833333333326</v>
      </c>
      <c r="AA35" s="5"/>
      <c r="AB35" s="5">
        <f t="shared" ref="AB35:AE35" si="37">SUM(AB30:AB33)</f>
        <v>0</v>
      </c>
      <c r="AC35" s="5">
        <f t="shared" si="37"/>
        <v>0</v>
      </c>
      <c r="AD35" s="5">
        <f t="shared" si="37"/>
        <v>0</v>
      </c>
      <c r="AE35" s="5">
        <f t="shared" si="37"/>
        <v>99.462500000000006</v>
      </c>
      <c r="AF35" s="5">
        <f t="shared" si="36"/>
        <v>99.462500000000006</v>
      </c>
      <c r="AG35" s="5">
        <f t="shared" si="36"/>
        <v>99.462500000000006</v>
      </c>
      <c r="AH35" s="5">
        <f t="shared" si="36"/>
        <v>99.462500000000006</v>
      </c>
      <c r="AI35" s="5">
        <f t="shared" si="36"/>
        <v>99.462500000000006</v>
      </c>
      <c r="AK35" s="5">
        <f ca="1">SUM(AK30:AK33)</f>
        <v>486.36250000000001</v>
      </c>
      <c r="AL35" s="5">
        <f t="shared" ref="AL35:BO35" si="38">SUM(AL30:AL33)</f>
        <v>486.36250000000001</v>
      </c>
      <c r="AM35" s="5">
        <f t="shared" si="38"/>
        <v>486.36250000000001</v>
      </c>
      <c r="AN35" s="5">
        <f t="shared" si="38"/>
        <v>486.36250000000001</v>
      </c>
      <c r="AO35" s="5">
        <f t="shared" si="38"/>
        <v>0</v>
      </c>
      <c r="AP35" s="5">
        <f t="shared" si="38"/>
        <v>0</v>
      </c>
      <c r="AQ35" s="5">
        <f t="shared" si="38"/>
        <v>0</v>
      </c>
      <c r="AR35" s="5">
        <f t="shared" si="38"/>
        <v>174.59166666666667</v>
      </c>
      <c r="AS35" s="5">
        <f t="shared" si="38"/>
        <v>174.59166666666667</v>
      </c>
      <c r="AT35" s="5">
        <f t="shared" si="38"/>
        <v>174.59166666666667</v>
      </c>
      <c r="AU35" s="5">
        <f t="shared" si="38"/>
        <v>174.59166666666667</v>
      </c>
      <c r="AV35" s="5">
        <f t="shared" si="38"/>
        <v>174.59166666666667</v>
      </c>
      <c r="AW35" s="5">
        <f t="shared" si="38"/>
        <v>810.60416666666663</v>
      </c>
      <c r="AX35" s="5">
        <f t="shared" si="38"/>
        <v>810.60416666666663</v>
      </c>
      <c r="AY35" s="5">
        <f t="shared" si="38"/>
        <v>810.60416666666663</v>
      </c>
      <c r="AZ35" s="5">
        <f t="shared" si="38"/>
        <v>0</v>
      </c>
      <c r="BA35" s="5">
        <f t="shared" si="38"/>
        <v>2878.0250000000001</v>
      </c>
      <c r="BB35" s="5">
        <f t="shared" si="38"/>
        <v>0</v>
      </c>
      <c r="BC35" s="5">
        <f t="shared" si="38"/>
        <v>0</v>
      </c>
      <c r="BD35" s="5">
        <f t="shared" si="38"/>
        <v>0</v>
      </c>
      <c r="BE35" s="5">
        <f t="shared" si="38"/>
        <v>0</v>
      </c>
      <c r="BF35" s="5">
        <f>SUM(BF30:BF33)</f>
        <v>1068.5375000000001</v>
      </c>
      <c r="BG35" s="5"/>
      <c r="BH35" s="5">
        <f t="shared" ref="BH35:BJ35" si="39">SUM(BH30:BH33)</f>
        <v>0</v>
      </c>
      <c r="BI35" s="5">
        <f t="shared" si="39"/>
        <v>0</v>
      </c>
      <c r="BJ35" s="5">
        <f t="shared" si="39"/>
        <v>0</v>
      </c>
      <c r="BK35" s="5">
        <f t="shared" ref="BK35" si="40">SUM(BK30:BK33)</f>
        <v>0</v>
      </c>
      <c r="BL35" s="5">
        <f t="shared" si="38"/>
        <v>174.59166666666667</v>
      </c>
      <c r="BM35" s="5">
        <f t="shared" si="38"/>
        <v>174.59166666666667</v>
      </c>
      <c r="BN35" s="5">
        <f t="shared" si="38"/>
        <v>174.59166666666667</v>
      </c>
      <c r="BO35" s="5">
        <f t="shared" si="38"/>
        <v>174.59166666666667</v>
      </c>
    </row>
    <row r="37" spans="2:67">
      <c r="B37" s="6" t="s">
        <v>85</v>
      </c>
      <c r="C37" s="6"/>
      <c r="D37" s="6"/>
      <c r="E37" s="5">
        <f t="shared" ref="E37:AI37" ca="1" si="41">E35+E27+E14</f>
        <v>1126.0250000000001</v>
      </c>
      <c r="F37" s="5">
        <f t="shared" ca="1" si="41"/>
        <v>1126.0250000000001</v>
      </c>
      <c r="G37" s="5">
        <f t="shared" ca="1" si="41"/>
        <v>1455.7416666666668</v>
      </c>
      <c r="H37" s="5">
        <f t="shared" ca="1" si="41"/>
        <v>2964.104166666667</v>
      </c>
      <c r="I37" s="5">
        <f t="shared" ca="1" si="41"/>
        <v>0</v>
      </c>
      <c r="J37" s="5">
        <f t="shared" ca="1" si="41"/>
        <v>0</v>
      </c>
      <c r="K37" s="5">
        <f t="shared" ca="1" si="41"/>
        <v>0</v>
      </c>
      <c r="L37" s="5">
        <f t="shared" ca="1" si="41"/>
        <v>490.31666666666672</v>
      </c>
      <c r="M37" s="5">
        <f t="shared" ca="1" si="41"/>
        <v>961.47083333333342</v>
      </c>
      <c r="N37" s="5">
        <f t="shared" ca="1" si="41"/>
        <v>1952.4458333333334</v>
      </c>
      <c r="O37" s="5">
        <f t="shared" ca="1" si="41"/>
        <v>367.73750000000001</v>
      </c>
      <c r="P37" s="5">
        <f t="shared" ca="1" si="41"/>
        <v>1927.5041666666668</v>
      </c>
      <c r="Q37" s="5">
        <f t="shared" ca="1" si="41"/>
        <v>2719.5541666666668</v>
      </c>
      <c r="R37" s="5">
        <f t="shared" ca="1" si="41"/>
        <v>3858.6583333333338</v>
      </c>
      <c r="S37" s="5">
        <f t="shared" ca="1" si="41"/>
        <v>5788.9</v>
      </c>
      <c r="T37" s="5">
        <f t="shared" ca="1" si="41"/>
        <v>1450.875</v>
      </c>
      <c r="U37" s="5">
        <f t="shared" ca="1" si="41"/>
        <v>2646.25</v>
      </c>
      <c r="V37" s="5">
        <f t="shared" ca="1" si="41"/>
        <v>0</v>
      </c>
      <c r="W37" s="5">
        <f t="shared" ca="1" si="41"/>
        <v>0</v>
      </c>
      <c r="X37" s="5">
        <f t="shared" ca="1" si="41"/>
        <v>0</v>
      </c>
      <c r="Y37" s="5">
        <f t="shared" ca="1" si="41"/>
        <v>0</v>
      </c>
      <c r="Z37" s="5">
        <f ca="1">Z35+Z27+Z14</f>
        <v>982.45833333333326</v>
      </c>
      <c r="AA37" s="5"/>
      <c r="AB37" s="5">
        <f t="shared" ref="AB37:AE37" ca="1" si="42">AB35+AB27+AB14</f>
        <v>0</v>
      </c>
      <c r="AC37" s="5">
        <f t="shared" ca="1" si="42"/>
        <v>0</v>
      </c>
      <c r="AD37" s="5">
        <f t="shared" ca="1" si="42"/>
        <v>0</v>
      </c>
      <c r="AE37" s="5">
        <f t="shared" ca="1" si="42"/>
        <v>99.462500000000006</v>
      </c>
      <c r="AF37" s="5">
        <f t="shared" ca="1" si="41"/>
        <v>490.31666666666672</v>
      </c>
      <c r="AG37" s="5">
        <f t="shared" ca="1" si="41"/>
        <v>961.47083333333342</v>
      </c>
      <c r="AH37" s="5">
        <f t="shared" ca="1" si="41"/>
        <v>1952.4458333333334</v>
      </c>
      <c r="AI37" s="5">
        <f t="shared" ca="1" si="41"/>
        <v>367.73750000000001</v>
      </c>
      <c r="AK37" s="5">
        <f t="shared" ref="AK37:BO37" ca="1" si="43">AK35+AK27+AK14</f>
        <v>1250.4291666666668</v>
      </c>
      <c r="AL37" s="5">
        <f t="shared" ca="1" si="43"/>
        <v>1250.4291666666668</v>
      </c>
      <c r="AM37" s="5">
        <f t="shared" ca="1" si="43"/>
        <v>1622.1208333333334</v>
      </c>
      <c r="AN37" s="5">
        <f t="shared" ca="1" si="43"/>
        <v>3319.979166666667</v>
      </c>
      <c r="AO37" s="5">
        <f t="shared" ca="1" si="43"/>
        <v>0</v>
      </c>
      <c r="AP37" s="5">
        <f t="shared" ca="1" si="43"/>
        <v>0</v>
      </c>
      <c r="AQ37" s="5">
        <f t="shared" ca="1" si="43"/>
        <v>0</v>
      </c>
      <c r="AR37" s="5">
        <f t="shared" ca="1" si="43"/>
        <v>608.94166666666661</v>
      </c>
      <c r="AS37" s="5">
        <f t="shared" ca="1" si="43"/>
        <v>1128.7625</v>
      </c>
      <c r="AT37" s="5">
        <f t="shared" ca="1" si="43"/>
        <v>2230.4541666666669</v>
      </c>
      <c r="AU37" s="5">
        <f t="shared" ca="1" si="43"/>
        <v>472.37083333333334</v>
      </c>
      <c r="AV37" s="5">
        <f t="shared" ca="1" si="43"/>
        <v>2225.2833333333333</v>
      </c>
      <c r="AW37" s="5">
        <f t="shared" ca="1" si="43"/>
        <v>2993.3041666666672</v>
      </c>
      <c r="AX37" s="5">
        <f t="shared" ca="1" si="43"/>
        <v>4267.1541666666672</v>
      </c>
      <c r="AY37" s="5">
        <f t="shared" ca="1" si="43"/>
        <v>6433.4291666666668</v>
      </c>
      <c r="AZ37" s="5">
        <f t="shared" ca="1" si="43"/>
        <v>1601.1333333333332</v>
      </c>
      <c r="BA37" s="5">
        <f t="shared" ca="1" si="43"/>
        <v>2878.0250000000001</v>
      </c>
      <c r="BB37" s="5">
        <f t="shared" ca="1" si="43"/>
        <v>0</v>
      </c>
      <c r="BC37" s="5">
        <f t="shared" ca="1" si="43"/>
        <v>0</v>
      </c>
      <c r="BD37" s="5">
        <f t="shared" ca="1" si="43"/>
        <v>0</v>
      </c>
      <c r="BE37" s="5">
        <f t="shared" ca="1" si="43"/>
        <v>0</v>
      </c>
      <c r="BF37" s="5">
        <f ca="1">BF35+BF27+BF14</f>
        <v>1068.5375000000001</v>
      </c>
      <c r="BG37" s="5"/>
      <c r="BH37" s="5">
        <f t="shared" ref="BH37:BJ37" ca="1" si="44">BH35+BH27+BH14</f>
        <v>0</v>
      </c>
      <c r="BI37" s="5">
        <f t="shared" ca="1" si="44"/>
        <v>0</v>
      </c>
      <c r="BJ37" s="5">
        <f t="shared" ca="1" si="44"/>
        <v>0</v>
      </c>
      <c r="BK37" s="5">
        <f t="shared" ref="BK37" ca="1" si="45">BK35+BK27+BK14</f>
        <v>0</v>
      </c>
      <c r="BL37" s="5">
        <f t="shared" ca="1" si="43"/>
        <v>608.94166666666661</v>
      </c>
      <c r="BM37" s="5">
        <f t="shared" ca="1" si="43"/>
        <v>1128.7625</v>
      </c>
      <c r="BN37" s="5">
        <f t="shared" ca="1" si="43"/>
        <v>2230.4541666666669</v>
      </c>
      <c r="BO37" s="5">
        <f t="shared" ca="1" si="43"/>
        <v>472.37083333333334</v>
      </c>
    </row>
    <row r="38" spans="2:67">
      <c r="B38" t="s">
        <v>86</v>
      </c>
      <c r="D38" s="31">
        <f>'Monthly Average Bill'!D51</f>
        <v>0.15</v>
      </c>
      <c r="E38" s="22">
        <f ca="1">E37*$D38</f>
        <v>168.90375</v>
      </c>
      <c r="F38" s="22">
        <f t="shared" ref="F38:AI38" ca="1" si="46">F37*$D38</f>
        <v>168.90375</v>
      </c>
      <c r="G38" s="22">
        <f t="shared" ca="1" si="46"/>
        <v>218.36125000000001</v>
      </c>
      <c r="H38" s="22">
        <f t="shared" ca="1" si="46"/>
        <v>444.61562500000002</v>
      </c>
      <c r="I38" s="22">
        <f t="shared" ca="1" si="46"/>
        <v>0</v>
      </c>
      <c r="J38" s="22">
        <f t="shared" ca="1" si="46"/>
        <v>0</v>
      </c>
      <c r="K38" s="22">
        <f t="shared" ca="1" si="46"/>
        <v>0</v>
      </c>
      <c r="L38" s="22">
        <f t="shared" ca="1" si="46"/>
        <v>73.547499999999999</v>
      </c>
      <c r="M38" s="22">
        <f t="shared" ca="1" si="46"/>
        <v>144.22062500000001</v>
      </c>
      <c r="N38" s="22">
        <f t="shared" ca="1" si="46"/>
        <v>292.86687499999999</v>
      </c>
      <c r="O38" s="22">
        <f t="shared" ca="1" si="46"/>
        <v>55.160625000000003</v>
      </c>
      <c r="P38" s="22">
        <f t="shared" ca="1" si="46"/>
        <v>289.12562500000001</v>
      </c>
      <c r="Q38" s="22">
        <f t="shared" ca="1" si="46"/>
        <v>407.93312500000002</v>
      </c>
      <c r="R38" s="22">
        <f t="shared" ca="1" si="46"/>
        <v>578.79875000000004</v>
      </c>
      <c r="S38" s="22">
        <f t="shared" ca="1" si="46"/>
        <v>868.33499999999992</v>
      </c>
      <c r="T38" s="22">
        <f t="shared" ca="1" si="46"/>
        <v>217.63124999999999</v>
      </c>
      <c r="U38" s="22">
        <f t="shared" ca="1" si="46"/>
        <v>396.9375</v>
      </c>
      <c r="V38" s="22">
        <f t="shared" ca="1" si="46"/>
        <v>0</v>
      </c>
      <c r="W38" s="22">
        <f t="shared" ca="1" si="46"/>
        <v>0</v>
      </c>
      <c r="X38" s="22">
        <f t="shared" ca="1" si="46"/>
        <v>0</v>
      </c>
      <c r="Y38" s="22">
        <f t="shared" ca="1" si="46"/>
        <v>0</v>
      </c>
      <c r="Z38" s="22">
        <f ca="1">Z37*$D38</f>
        <v>147.36874999999998</v>
      </c>
      <c r="AA38" s="22"/>
      <c r="AB38" s="22">
        <f t="shared" ref="AB38:AE38" ca="1" si="47">AB37*$D38</f>
        <v>0</v>
      </c>
      <c r="AC38" s="22">
        <f t="shared" ca="1" si="47"/>
        <v>0</v>
      </c>
      <c r="AD38" s="22">
        <f t="shared" ca="1" si="47"/>
        <v>0</v>
      </c>
      <c r="AE38" s="22">
        <f t="shared" ca="1" si="47"/>
        <v>14.919375</v>
      </c>
      <c r="AF38" s="22">
        <f t="shared" ca="1" si="46"/>
        <v>73.547499999999999</v>
      </c>
      <c r="AG38" s="22">
        <f t="shared" ca="1" si="46"/>
        <v>144.22062500000001</v>
      </c>
      <c r="AH38" s="22">
        <f t="shared" ca="1" si="46"/>
        <v>292.86687499999999</v>
      </c>
      <c r="AI38" s="22">
        <f t="shared" ca="1" si="46"/>
        <v>55.160625000000003</v>
      </c>
      <c r="AK38" s="22">
        <f ca="1">AK37*$D38</f>
        <v>187.56437500000001</v>
      </c>
      <c r="AL38" s="22">
        <f t="shared" ref="AL38:BO38" ca="1" si="48">AL37*$D38</f>
        <v>187.56437500000001</v>
      </c>
      <c r="AM38" s="22">
        <f t="shared" ca="1" si="48"/>
        <v>243.31812500000001</v>
      </c>
      <c r="AN38" s="22">
        <f t="shared" ca="1" si="48"/>
        <v>497.99687500000005</v>
      </c>
      <c r="AO38" s="22">
        <f t="shared" ca="1" si="48"/>
        <v>0</v>
      </c>
      <c r="AP38" s="22">
        <f t="shared" ca="1" si="48"/>
        <v>0</v>
      </c>
      <c r="AQ38" s="22">
        <f t="shared" ca="1" si="48"/>
        <v>0</v>
      </c>
      <c r="AR38" s="22">
        <f t="shared" ca="1" si="48"/>
        <v>91.341249999999988</v>
      </c>
      <c r="AS38" s="22">
        <f t="shared" ca="1" si="48"/>
        <v>169.31437500000001</v>
      </c>
      <c r="AT38" s="22">
        <f t="shared" ca="1" si="48"/>
        <v>334.56812500000001</v>
      </c>
      <c r="AU38" s="22">
        <f t="shared" ca="1" si="48"/>
        <v>70.855625000000003</v>
      </c>
      <c r="AV38" s="22">
        <f t="shared" ca="1" si="48"/>
        <v>333.79249999999996</v>
      </c>
      <c r="AW38" s="22">
        <f t="shared" ca="1" si="48"/>
        <v>448.99562500000008</v>
      </c>
      <c r="AX38" s="22">
        <f t="shared" ca="1" si="48"/>
        <v>640.073125</v>
      </c>
      <c r="AY38" s="22">
        <f t="shared" ca="1" si="48"/>
        <v>965.01437499999997</v>
      </c>
      <c r="AZ38" s="22">
        <f t="shared" ca="1" si="48"/>
        <v>240.16999999999996</v>
      </c>
      <c r="BA38" s="22">
        <f t="shared" ca="1" si="48"/>
        <v>431.70375000000001</v>
      </c>
      <c r="BB38" s="22">
        <f t="shared" ca="1" si="48"/>
        <v>0</v>
      </c>
      <c r="BC38" s="22">
        <f t="shared" ca="1" si="48"/>
        <v>0</v>
      </c>
      <c r="BD38" s="22">
        <f t="shared" ca="1" si="48"/>
        <v>0</v>
      </c>
      <c r="BE38" s="22">
        <f t="shared" ca="1" si="48"/>
        <v>0</v>
      </c>
      <c r="BF38" s="22">
        <f ca="1">BF37*$D38</f>
        <v>160.28062500000001</v>
      </c>
      <c r="BG38" s="22"/>
      <c r="BH38" s="22">
        <f t="shared" ref="BH38:BJ38" ca="1" si="49">BH37*$D38</f>
        <v>0</v>
      </c>
      <c r="BI38" s="22">
        <f t="shared" ca="1" si="49"/>
        <v>0</v>
      </c>
      <c r="BJ38" s="22">
        <f t="shared" ca="1" si="49"/>
        <v>0</v>
      </c>
      <c r="BK38" s="22">
        <f t="shared" ref="BK38" ca="1" si="50">BK37*$D38</f>
        <v>0</v>
      </c>
      <c r="BL38" s="22">
        <f t="shared" ca="1" si="48"/>
        <v>91.341249999999988</v>
      </c>
      <c r="BM38" s="22">
        <f t="shared" ca="1" si="48"/>
        <v>169.31437500000001</v>
      </c>
      <c r="BN38" s="22">
        <f t="shared" ca="1" si="48"/>
        <v>334.56812500000001</v>
      </c>
      <c r="BO38" s="22">
        <f t="shared" ca="1" si="48"/>
        <v>70.855625000000003</v>
      </c>
    </row>
    <row r="40" spans="2:67" ht="12.6" thickBot="1">
      <c r="B40" s="27" t="s">
        <v>87</v>
      </c>
      <c r="C40" s="27"/>
      <c r="D40" s="27"/>
      <c r="E40" s="29">
        <f ca="1">SUM(E37:E38)</f>
        <v>1294.92875</v>
      </c>
      <c r="F40" s="29">
        <f t="shared" ref="F40:AI40" ca="1" si="51">SUM(F37:F38)</f>
        <v>1294.92875</v>
      </c>
      <c r="G40" s="29">
        <f t="shared" ca="1" si="51"/>
        <v>1674.1029166666667</v>
      </c>
      <c r="H40" s="29">
        <f t="shared" ca="1" si="51"/>
        <v>3408.7197916666669</v>
      </c>
      <c r="I40" s="29">
        <f t="shared" ca="1" si="51"/>
        <v>0</v>
      </c>
      <c r="J40" s="29">
        <f t="shared" ca="1" si="51"/>
        <v>0</v>
      </c>
      <c r="K40" s="29">
        <f t="shared" ca="1" si="51"/>
        <v>0</v>
      </c>
      <c r="L40" s="29">
        <f t="shared" ca="1" si="51"/>
        <v>563.86416666666673</v>
      </c>
      <c r="M40" s="29">
        <f t="shared" ca="1" si="51"/>
        <v>1105.6914583333335</v>
      </c>
      <c r="N40" s="29">
        <f t="shared" ca="1" si="51"/>
        <v>2245.3127083333334</v>
      </c>
      <c r="O40" s="29">
        <f t="shared" ca="1" si="51"/>
        <v>422.89812499999999</v>
      </c>
      <c r="P40" s="29">
        <f t="shared" ca="1" si="51"/>
        <v>2216.6297916666667</v>
      </c>
      <c r="Q40" s="29">
        <f t="shared" ca="1" si="51"/>
        <v>3127.4872916666668</v>
      </c>
      <c r="R40" s="29">
        <f t="shared" ca="1" si="51"/>
        <v>4437.4570833333337</v>
      </c>
      <c r="S40" s="29">
        <f t="shared" ca="1" si="51"/>
        <v>6657.2349999999997</v>
      </c>
      <c r="T40" s="29">
        <f t="shared" ca="1" si="51"/>
        <v>1668.5062499999999</v>
      </c>
      <c r="U40" s="29">
        <f t="shared" ca="1" si="51"/>
        <v>3043.1875</v>
      </c>
      <c r="V40" s="29">
        <f t="shared" ca="1" si="51"/>
        <v>0</v>
      </c>
      <c r="W40" s="29">
        <f t="shared" ca="1" si="51"/>
        <v>0</v>
      </c>
      <c r="X40" s="29">
        <f t="shared" ca="1" si="51"/>
        <v>0</v>
      </c>
      <c r="Y40" s="29">
        <f t="shared" ca="1" si="51"/>
        <v>0</v>
      </c>
      <c r="Z40" s="29">
        <f ca="1">SUM(Z37:Z38)</f>
        <v>1129.8270833333331</v>
      </c>
      <c r="AA40" s="29">
        <f>SUM(AA37:AA38)</f>
        <v>0</v>
      </c>
      <c r="AB40" s="29">
        <f t="shared" ref="AB40:AE40" ca="1" si="52">SUM(AB37:AB38)</f>
        <v>0</v>
      </c>
      <c r="AC40" s="29">
        <f t="shared" ca="1" si="52"/>
        <v>0</v>
      </c>
      <c r="AD40" s="29">
        <f t="shared" ca="1" si="52"/>
        <v>0</v>
      </c>
      <c r="AE40" s="29">
        <f t="shared" ca="1" si="52"/>
        <v>114.38187500000001</v>
      </c>
      <c r="AF40" s="29">
        <f t="shared" ca="1" si="51"/>
        <v>563.86416666666673</v>
      </c>
      <c r="AG40" s="29">
        <f t="shared" ca="1" si="51"/>
        <v>1105.6914583333335</v>
      </c>
      <c r="AH40" s="29">
        <f t="shared" ca="1" si="51"/>
        <v>2245.3127083333334</v>
      </c>
      <c r="AI40" s="29">
        <f t="shared" ca="1" si="51"/>
        <v>422.89812499999999</v>
      </c>
      <c r="AK40" s="29">
        <f ca="1">SUM(AK37:AK38)</f>
        <v>1437.9935416666667</v>
      </c>
      <c r="AL40" s="29">
        <f t="shared" ref="AL40:BO40" ca="1" si="53">SUM(AL37:AL38)</f>
        <v>1437.9935416666667</v>
      </c>
      <c r="AM40" s="29">
        <f t="shared" ca="1" si="53"/>
        <v>1865.4389583333334</v>
      </c>
      <c r="AN40" s="29">
        <f t="shared" ca="1" si="53"/>
        <v>3817.9760416666668</v>
      </c>
      <c r="AO40" s="29">
        <f t="shared" ca="1" si="53"/>
        <v>0</v>
      </c>
      <c r="AP40" s="29">
        <f t="shared" ca="1" si="53"/>
        <v>0</v>
      </c>
      <c r="AQ40" s="29">
        <f t="shared" ca="1" si="53"/>
        <v>0</v>
      </c>
      <c r="AR40" s="29">
        <f t="shared" ca="1" si="53"/>
        <v>700.28291666666655</v>
      </c>
      <c r="AS40" s="29">
        <f t="shared" ca="1" si="53"/>
        <v>1298.076875</v>
      </c>
      <c r="AT40" s="29">
        <f t="shared" ca="1" si="53"/>
        <v>2565.0222916666671</v>
      </c>
      <c r="AU40" s="29">
        <f t="shared" ca="1" si="53"/>
        <v>543.22645833333331</v>
      </c>
      <c r="AV40" s="29">
        <f t="shared" ca="1" si="53"/>
        <v>2559.0758333333333</v>
      </c>
      <c r="AW40" s="29">
        <f t="shared" ca="1" si="53"/>
        <v>3442.2997916666673</v>
      </c>
      <c r="AX40" s="29">
        <f t="shared" ca="1" si="53"/>
        <v>4907.227291666667</v>
      </c>
      <c r="AY40" s="29">
        <f t="shared" ca="1" si="53"/>
        <v>7398.4435416666665</v>
      </c>
      <c r="AZ40" s="29">
        <f t="shared" ca="1" si="53"/>
        <v>1841.3033333333333</v>
      </c>
      <c r="BA40" s="29">
        <f t="shared" ca="1" si="53"/>
        <v>3309.7287500000002</v>
      </c>
      <c r="BB40" s="29">
        <f t="shared" ca="1" si="53"/>
        <v>0</v>
      </c>
      <c r="BC40" s="29">
        <f t="shared" ca="1" si="53"/>
        <v>0</v>
      </c>
      <c r="BD40" s="29">
        <f t="shared" ca="1" si="53"/>
        <v>0</v>
      </c>
      <c r="BE40" s="29">
        <f t="shared" ca="1" si="53"/>
        <v>0</v>
      </c>
      <c r="BF40" s="29">
        <f ca="1">SUM(BF37:BF38)</f>
        <v>1228.8181250000002</v>
      </c>
      <c r="BG40" s="29">
        <f>SUM(BG37:BG38)</f>
        <v>0</v>
      </c>
      <c r="BH40" s="29">
        <f t="shared" ref="BH40:BJ40" ca="1" si="54">SUM(BH37:BH38)</f>
        <v>0</v>
      </c>
      <c r="BI40" s="29">
        <f t="shared" ca="1" si="54"/>
        <v>0</v>
      </c>
      <c r="BJ40" s="29">
        <f t="shared" ca="1" si="54"/>
        <v>0</v>
      </c>
      <c r="BK40" s="29">
        <f t="shared" ref="BK40" ca="1" si="55">SUM(BK37:BK38)</f>
        <v>0</v>
      </c>
      <c r="BL40" s="29">
        <f t="shared" ca="1" si="53"/>
        <v>700.28291666666655</v>
      </c>
      <c r="BM40" s="29">
        <f t="shared" ca="1" si="53"/>
        <v>1298.076875</v>
      </c>
      <c r="BN40" s="29">
        <f t="shared" ca="1" si="53"/>
        <v>2565.0222916666671</v>
      </c>
      <c r="BO40" s="29">
        <f t="shared" ca="1" si="53"/>
        <v>543.22645833333331</v>
      </c>
    </row>
    <row r="42" spans="2:67">
      <c r="B42" s="2" t="s">
        <v>88</v>
      </c>
      <c r="D42" s="2"/>
      <c r="E42" s="37" t="e">
        <f ca="1">SUMIFS(F42:AI42,$F$7:$AI$7,$F$2)</f>
        <v>#DIV/0!</v>
      </c>
      <c r="F42" s="37" t="e">
        <f t="shared" ref="F42:AI42" ca="1" si="56">F37/SPU_Annual_Total_Energy*100</f>
        <v>#DIV/0!</v>
      </c>
      <c r="G42" s="37" t="e">
        <f t="shared" ca="1" si="56"/>
        <v>#DIV/0!</v>
      </c>
      <c r="H42" s="2" t="e">
        <f ca="1">H37/SPU_Annual_Total_Energy*100</f>
        <v>#DIV/0!</v>
      </c>
      <c r="I42" s="37" t="e">
        <f t="shared" ca="1" si="56"/>
        <v>#DIV/0!</v>
      </c>
      <c r="J42" s="37" t="e">
        <f t="shared" ca="1" si="56"/>
        <v>#DIV/0!</v>
      </c>
      <c r="K42" s="37" t="e">
        <f t="shared" ca="1" si="56"/>
        <v>#DIV/0!</v>
      </c>
      <c r="L42" s="37" t="e">
        <f t="shared" ca="1" si="56"/>
        <v>#DIV/0!</v>
      </c>
      <c r="M42" s="37" t="e">
        <f t="shared" ca="1" si="56"/>
        <v>#DIV/0!</v>
      </c>
      <c r="N42" s="37" t="e">
        <f t="shared" ca="1" si="56"/>
        <v>#DIV/0!</v>
      </c>
      <c r="O42" s="37" t="e">
        <f t="shared" ca="1" si="56"/>
        <v>#DIV/0!</v>
      </c>
      <c r="P42" s="37" t="e">
        <f t="shared" ca="1" si="56"/>
        <v>#DIV/0!</v>
      </c>
      <c r="Q42" s="37" t="e">
        <f t="shared" ca="1" si="56"/>
        <v>#DIV/0!</v>
      </c>
      <c r="R42" s="37" t="e">
        <f t="shared" ca="1" si="56"/>
        <v>#DIV/0!</v>
      </c>
      <c r="S42" s="37" t="e">
        <f t="shared" ca="1" si="56"/>
        <v>#DIV/0!</v>
      </c>
      <c r="T42" s="37" t="e">
        <f t="shared" ca="1" si="56"/>
        <v>#DIV/0!</v>
      </c>
      <c r="U42" s="37" t="e">
        <f t="shared" ca="1" si="56"/>
        <v>#DIV/0!</v>
      </c>
      <c r="V42" s="37" t="e">
        <f t="shared" ca="1" si="56"/>
        <v>#DIV/0!</v>
      </c>
      <c r="W42" s="37" t="e">
        <f t="shared" ca="1" si="56"/>
        <v>#DIV/0!</v>
      </c>
      <c r="X42" s="37" t="e">
        <f t="shared" ca="1" si="56"/>
        <v>#DIV/0!</v>
      </c>
      <c r="Y42" s="37" t="e">
        <f t="shared" ca="1" si="56"/>
        <v>#DIV/0!</v>
      </c>
      <c r="Z42" s="37" t="e">
        <f ca="1">Z37/SPU_Annual_Total_Energy*100</f>
        <v>#DIV/0!</v>
      </c>
      <c r="AA42" s="37" t="e">
        <f>AA37/SPU_Annual_Total_Energy*100</f>
        <v>#DIV/0!</v>
      </c>
      <c r="AB42" s="37" t="e">
        <f t="shared" ref="AB42:AC42" ca="1" si="57">AB37/SPU_Annual_Total_Energy*100</f>
        <v>#DIV/0!</v>
      </c>
      <c r="AC42" s="37" t="e">
        <f t="shared" ca="1" si="57"/>
        <v>#DIV/0!</v>
      </c>
      <c r="AD42" s="37" t="e">
        <f ca="1">AD37/SPU_Annual_Total_Energy*100</f>
        <v>#DIV/0!</v>
      </c>
      <c r="AE42" s="37" t="e">
        <f t="shared" ref="AE42" ca="1" si="58">AE37/SPU_Annual_Total_Energy*100</f>
        <v>#DIV/0!</v>
      </c>
      <c r="AF42" s="37" t="e">
        <f t="shared" ca="1" si="56"/>
        <v>#DIV/0!</v>
      </c>
      <c r="AG42" s="37" t="e">
        <f t="shared" ca="1" si="56"/>
        <v>#DIV/0!</v>
      </c>
      <c r="AH42" s="37" t="e">
        <f t="shared" ca="1" si="56"/>
        <v>#DIV/0!</v>
      </c>
      <c r="AI42" s="37" t="e">
        <f t="shared" ca="1" si="56"/>
        <v>#DIV/0!</v>
      </c>
      <c r="AK42" s="37" t="e">
        <f ca="1">SUMIFS(AL42:BO42,$F$7:$AI$7,Selected_Tariff_ID)</f>
        <v>#DIV/0!</v>
      </c>
      <c r="AL42" s="37" t="e">
        <f t="shared" ref="AL42:BO42" ca="1" si="59">AL37/SPU_Annual_Total_Energy*100</f>
        <v>#DIV/0!</v>
      </c>
      <c r="AM42" s="37" t="e">
        <f t="shared" ca="1" si="59"/>
        <v>#DIV/0!</v>
      </c>
      <c r="AN42" s="37" t="e">
        <f t="shared" ca="1" si="59"/>
        <v>#DIV/0!</v>
      </c>
      <c r="AO42" s="37" t="e">
        <f t="shared" ca="1" si="59"/>
        <v>#DIV/0!</v>
      </c>
      <c r="AP42" s="37" t="e">
        <f t="shared" ca="1" si="59"/>
        <v>#DIV/0!</v>
      </c>
      <c r="AQ42" s="37" t="e">
        <f t="shared" ca="1" si="59"/>
        <v>#DIV/0!</v>
      </c>
      <c r="AR42" s="37" t="e">
        <f t="shared" ca="1" si="59"/>
        <v>#DIV/0!</v>
      </c>
      <c r="AS42" s="37" t="e">
        <f t="shared" ca="1" si="59"/>
        <v>#DIV/0!</v>
      </c>
      <c r="AT42" s="37" t="e">
        <f t="shared" ca="1" si="59"/>
        <v>#DIV/0!</v>
      </c>
      <c r="AU42" s="37" t="e">
        <f t="shared" ca="1" si="59"/>
        <v>#DIV/0!</v>
      </c>
      <c r="AV42" s="37" t="e">
        <f t="shared" ca="1" si="59"/>
        <v>#DIV/0!</v>
      </c>
      <c r="AW42" s="37" t="e">
        <f t="shared" ca="1" si="59"/>
        <v>#DIV/0!</v>
      </c>
      <c r="AX42" s="37" t="e">
        <f t="shared" ca="1" si="59"/>
        <v>#DIV/0!</v>
      </c>
      <c r="AY42" s="37" t="e">
        <f t="shared" ca="1" si="59"/>
        <v>#DIV/0!</v>
      </c>
      <c r="AZ42" s="37" t="e">
        <f t="shared" ca="1" si="59"/>
        <v>#DIV/0!</v>
      </c>
      <c r="BA42" s="37" t="e">
        <f t="shared" ca="1" si="59"/>
        <v>#DIV/0!</v>
      </c>
      <c r="BB42" s="37" t="e">
        <f t="shared" ca="1" si="59"/>
        <v>#DIV/0!</v>
      </c>
      <c r="BC42" s="37" t="e">
        <f t="shared" ca="1" si="59"/>
        <v>#DIV/0!</v>
      </c>
      <c r="BD42" s="37" t="e">
        <f t="shared" ca="1" si="59"/>
        <v>#DIV/0!</v>
      </c>
      <c r="BE42" s="37" t="e">
        <f t="shared" ca="1" si="59"/>
        <v>#DIV/0!</v>
      </c>
      <c r="BF42" s="37" t="e">
        <f ca="1">BF37/SPU_Annual_Total_Energy*100</f>
        <v>#DIV/0!</v>
      </c>
      <c r="BG42" s="37" t="e">
        <f>BG37/SPU_Annual_Total_Energy*100</f>
        <v>#DIV/0!</v>
      </c>
      <c r="BH42" s="37" t="e">
        <f t="shared" ref="BH42:BJ42" ca="1" si="60">BH37/SPU_Annual_Total_Energy*100</f>
        <v>#DIV/0!</v>
      </c>
      <c r="BI42" s="37" t="e">
        <f t="shared" ca="1" si="60"/>
        <v>#DIV/0!</v>
      </c>
      <c r="BJ42" s="37" t="e">
        <f t="shared" ca="1" si="60"/>
        <v>#DIV/0!</v>
      </c>
      <c r="BK42" s="37" t="e">
        <f t="shared" ref="BK42" ca="1" si="61">BK37/SPU_Annual_Total_Energy*100</f>
        <v>#DIV/0!</v>
      </c>
      <c r="BL42" s="37" t="e">
        <f t="shared" ca="1" si="59"/>
        <v>#DIV/0!</v>
      </c>
      <c r="BM42" s="37" t="e">
        <f t="shared" ca="1" si="59"/>
        <v>#DIV/0!</v>
      </c>
      <c r="BN42" s="37" t="e">
        <f t="shared" ca="1" si="59"/>
        <v>#DIV/0!</v>
      </c>
      <c r="BO42" s="37" t="e">
        <f t="shared" ca="1" si="59"/>
        <v>#DIV/0!</v>
      </c>
    </row>
    <row r="44" spans="2:67">
      <c r="B44" s="2" t="s">
        <v>120</v>
      </c>
    </row>
    <row r="45" spans="2:67">
      <c r="C45" t="s">
        <v>182</v>
      </c>
      <c r="E45">
        <f ca="1">SUMIFS(F45:AI45,$F$7:$AI$7,$F$2)</f>
        <v>0</v>
      </c>
      <c r="F45">
        <f>'Rates Table'!F44</f>
        <v>0</v>
      </c>
      <c r="G45">
        <f>'Rates Table'!G44</f>
        <v>0</v>
      </c>
      <c r="H45">
        <f>'Rates Table'!H44</f>
        <v>0</v>
      </c>
      <c r="I45">
        <f>'Rates Table'!I44</f>
        <v>0</v>
      </c>
      <c r="J45">
        <f>'Rates Table'!J44</f>
        <v>0</v>
      </c>
      <c r="K45">
        <f>'Rates Table'!K44</f>
        <v>0</v>
      </c>
      <c r="L45">
        <f>'Rates Table'!L44</f>
        <v>0</v>
      </c>
      <c r="M45">
        <f>'Rates Table'!M44</f>
        <v>0</v>
      </c>
      <c r="N45">
        <f>'Rates Table'!N44</f>
        <v>0</v>
      </c>
      <c r="O45">
        <f>'Rates Table'!O44</f>
        <v>0</v>
      </c>
      <c r="P45">
        <f>'Rates Table'!P44</f>
        <v>0</v>
      </c>
      <c r="Q45">
        <f>'Rates Table'!Q44</f>
        <v>0</v>
      </c>
      <c r="R45">
        <f>'Rates Table'!R44</f>
        <v>0</v>
      </c>
      <c r="S45">
        <f>'Rates Table'!S44</f>
        <v>0</v>
      </c>
      <c r="T45">
        <f>'Rates Table'!T44</f>
        <v>0</v>
      </c>
      <c r="U45">
        <f>'Rates Table'!U44</f>
        <v>0</v>
      </c>
      <c r="V45">
        <f>'Rates Table'!V44</f>
        <v>0</v>
      </c>
      <c r="W45">
        <f>'Rates Table'!W44</f>
        <v>0</v>
      </c>
      <c r="X45">
        <f>'Rates Table'!X44</f>
        <v>0</v>
      </c>
      <c r="Y45">
        <f>'Rates Table'!Y44</f>
        <v>0</v>
      </c>
      <c r="Z45">
        <f>'Rates Table'!Z44</f>
        <v>0</v>
      </c>
      <c r="AA45">
        <f>'Rates Table'!AA44</f>
        <v>0</v>
      </c>
      <c r="AB45">
        <f>'Rates Table'!AB44</f>
        <v>0</v>
      </c>
      <c r="AC45">
        <f>'Rates Table'!AC44</f>
        <v>0</v>
      </c>
      <c r="AD45">
        <f>'Rates Table'!AD44</f>
        <v>0</v>
      </c>
      <c r="AE45">
        <f>'Rates Table'!AF44</f>
        <v>0</v>
      </c>
      <c r="AF45">
        <f>'Rates Table'!AF44</f>
        <v>0</v>
      </c>
      <c r="AG45">
        <f>'Rates Table'!AG44</f>
        <v>0</v>
      </c>
      <c r="AH45">
        <f>'Rates Table'!AH44</f>
        <v>0</v>
      </c>
      <c r="AI45">
        <f>'Rates Table'!AI44</f>
        <v>0</v>
      </c>
      <c r="AK45">
        <f ca="1">SUMIFS(AL45:BO45,$F$7:$AI$7,Selected_Tariff_ID)</f>
        <v>0</v>
      </c>
      <c r="AL45">
        <f t="shared" ref="AL45:AU46" si="62">F45</f>
        <v>0</v>
      </c>
      <c r="AM45">
        <f t="shared" si="62"/>
        <v>0</v>
      </c>
      <c r="AN45">
        <f t="shared" si="62"/>
        <v>0</v>
      </c>
      <c r="AO45">
        <f t="shared" si="62"/>
        <v>0</v>
      </c>
      <c r="AP45">
        <f t="shared" si="62"/>
        <v>0</v>
      </c>
      <c r="AQ45">
        <f t="shared" si="62"/>
        <v>0</v>
      </c>
      <c r="AR45">
        <f t="shared" si="62"/>
        <v>0</v>
      </c>
      <c r="AS45">
        <f t="shared" si="62"/>
        <v>0</v>
      </c>
      <c r="AT45">
        <f t="shared" si="62"/>
        <v>0</v>
      </c>
      <c r="AU45">
        <f t="shared" si="62"/>
        <v>0</v>
      </c>
      <c r="AV45">
        <f t="shared" ref="AV45:BE46" si="63">P45</f>
        <v>0</v>
      </c>
      <c r="AW45">
        <f t="shared" si="63"/>
        <v>0</v>
      </c>
      <c r="AX45">
        <f t="shared" si="63"/>
        <v>0</v>
      </c>
      <c r="AY45">
        <f t="shared" si="63"/>
        <v>0</v>
      </c>
      <c r="AZ45">
        <f t="shared" si="63"/>
        <v>0</v>
      </c>
      <c r="BA45">
        <f t="shared" si="63"/>
        <v>0</v>
      </c>
      <c r="BB45">
        <f t="shared" si="63"/>
        <v>0</v>
      </c>
      <c r="BC45">
        <f t="shared" si="63"/>
        <v>0</v>
      </c>
      <c r="BD45">
        <f t="shared" si="63"/>
        <v>0</v>
      </c>
      <c r="BE45">
        <f t="shared" si="63"/>
        <v>0</v>
      </c>
      <c r="BF45">
        <f t="shared" ref="BF45:BK46" si="64">Z45</f>
        <v>0</v>
      </c>
      <c r="BG45">
        <f t="shared" si="64"/>
        <v>0</v>
      </c>
      <c r="BH45">
        <f t="shared" si="64"/>
        <v>0</v>
      </c>
      <c r="BI45">
        <f t="shared" si="64"/>
        <v>0</v>
      </c>
      <c r="BJ45">
        <f t="shared" si="64"/>
        <v>0</v>
      </c>
      <c r="BK45">
        <f t="shared" si="64"/>
        <v>0</v>
      </c>
      <c r="BL45">
        <f t="shared" ref="BL45:BO46" si="65">AF45</f>
        <v>0</v>
      </c>
      <c r="BM45">
        <f t="shared" si="65"/>
        <v>0</v>
      </c>
      <c r="BN45">
        <f t="shared" si="65"/>
        <v>0</v>
      </c>
      <c r="BO45">
        <f t="shared" si="65"/>
        <v>0</v>
      </c>
    </row>
    <row r="46" spans="2:67">
      <c r="C46" t="s">
        <v>156</v>
      </c>
      <c r="E46" t="str">
        <f ca="1">Selected_Tariff_Type</f>
        <v>Urban</v>
      </c>
      <c r="F46" t="str">
        <f t="shared" ref="F46:AI46" si="66">INDEX(Full_Tariff_Type,F$7,)</f>
        <v>Urban</v>
      </c>
      <c r="G46" t="str">
        <f t="shared" si="66"/>
        <v>Urban</v>
      </c>
      <c r="H46" t="str">
        <f t="shared" si="66"/>
        <v>Urban</v>
      </c>
      <c r="I46" t="str">
        <f t="shared" si="66"/>
        <v>Urban</v>
      </c>
      <c r="J46" t="str">
        <f t="shared" si="66"/>
        <v>Urban</v>
      </c>
      <c r="K46" t="str">
        <f t="shared" si="66"/>
        <v>Urban</v>
      </c>
      <c r="L46" t="str">
        <f t="shared" si="66"/>
        <v>Urban</v>
      </c>
      <c r="M46" t="str">
        <f t="shared" si="66"/>
        <v>Urban</v>
      </c>
      <c r="N46" t="str">
        <f t="shared" si="66"/>
        <v>Urban</v>
      </c>
      <c r="O46" t="str">
        <f t="shared" si="66"/>
        <v>Urban</v>
      </c>
      <c r="P46" t="str">
        <f t="shared" si="66"/>
        <v>Urban</v>
      </c>
      <c r="Q46" t="str">
        <f t="shared" si="66"/>
        <v>Rural</v>
      </c>
      <c r="R46" t="str">
        <f t="shared" si="66"/>
        <v>Rural</v>
      </c>
      <c r="S46" t="str">
        <f t="shared" si="66"/>
        <v>Rural</v>
      </c>
      <c r="T46" t="str">
        <f t="shared" si="66"/>
        <v>Rural</v>
      </c>
      <c r="U46" t="str">
        <f t="shared" si="66"/>
        <v>Rural</v>
      </c>
      <c r="V46" t="str">
        <f t="shared" si="66"/>
        <v>Rural</v>
      </c>
      <c r="W46" t="str">
        <f t="shared" si="66"/>
        <v>Rural</v>
      </c>
      <c r="X46" t="str">
        <f t="shared" si="66"/>
        <v>Urban</v>
      </c>
      <c r="Y46" t="str">
        <f t="shared" si="66"/>
        <v>Urban</v>
      </c>
      <c r="Z46" t="str">
        <f t="shared" si="66"/>
        <v>Urban</v>
      </c>
      <c r="AA46" t="str">
        <f t="shared" si="66"/>
        <v>Urban</v>
      </c>
      <c r="AB46" t="str">
        <f t="shared" si="66"/>
        <v>Urban</v>
      </c>
      <c r="AC46" t="str">
        <f t="shared" si="66"/>
        <v>Urban</v>
      </c>
      <c r="AD46" t="str">
        <f t="shared" si="66"/>
        <v>Urban</v>
      </c>
      <c r="AE46" t="str">
        <f t="shared" si="66"/>
        <v>Urban</v>
      </c>
      <c r="AF46" t="str">
        <f t="shared" si="66"/>
        <v>Urban</v>
      </c>
      <c r="AG46" t="str">
        <f t="shared" si="66"/>
        <v>Urban</v>
      </c>
      <c r="AH46" t="str">
        <f t="shared" si="66"/>
        <v>Urban</v>
      </c>
      <c r="AI46" t="str">
        <f t="shared" si="66"/>
        <v>Urban</v>
      </c>
      <c r="AK46" t="str">
        <f ca="1">Selected_Tariff_Type</f>
        <v>Urban</v>
      </c>
      <c r="AL46" t="str">
        <f t="shared" si="62"/>
        <v>Urban</v>
      </c>
      <c r="AM46" t="str">
        <f t="shared" si="62"/>
        <v>Urban</v>
      </c>
      <c r="AN46" t="str">
        <f t="shared" si="62"/>
        <v>Urban</v>
      </c>
      <c r="AO46" t="str">
        <f t="shared" si="62"/>
        <v>Urban</v>
      </c>
      <c r="AP46" t="str">
        <f t="shared" si="62"/>
        <v>Urban</v>
      </c>
      <c r="AQ46" t="str">
        <f t="shared" si="62"/>
        <v>Urban</v>
      </c>
      <c r="AR46" t="str">
        <f t="shared" si="62"/>
        <v>Urban</v>
      </c>
      <c r="AS46" t="str">
        <f t="shared" si="62"/>
        <v>Urban</v>
      </c>
      <c r="AT46" t="str">
        <f t="shared" si="62"/>
        <v>Urban</v>
      </c>
      <c r="AU46" t="str">
        <f t="shared" si="62"/>
        <v>Urban</v>
      </c>
      <c r="AV46" t="str">
        <f t="shared" si="63"/>
        <v>Urban</v>
      </c>
      <c r="AW46" t="str">
        <f t="shared" si="63"/>
        <v>Rural</v>
      </c>
      <c r="AX46" t="str">
        <f t="shared" si="63"/>
        <v>Rural</v>
      </c>
      <c r="AY46" t="str">
        <f t="shared" si="63"/>
        <v>Rural</v>
      </c>
      <c r="AZ46" t="str">
        <f t="shared" si="63"/>
        <v>Rural</v>
      </c>
      <c r="BA46" t="str">
        <f t="shared" si="63"/>
        <v>Rural</v>
      </c>
      <c r="BB46" t="str">
        <f t="shared" si="63"/>
        <v>Rural</v>
      </c>
      <c r="BC46" t="str">
        <f t="shared" si="63"/>
        <v>Rural</v>
      </c>
      <c r="BD46" t="str">
        <f t="shared" si="63"/>
        <v>Urban</v>
      </c>
      <c r="BE46" t="str">
        <f t="shared" si="63"/>
        <v>Urban</v>
      </c>
      <c r="BF46" t="str">
        <f t="shared" si="64"/>
        <v>Urban</v>
      </c>
      <c r="BG46" t="str">
        <f t="shared" si="64"/>
        <v>Urban</v>
      </c>
      <c r="BH46" t="str">
        <f t="shared" si="64"/>
        <v>Urban</v>
      </c>
      <c r="BI46" t="str">
        <f t="shared" si="64"/>
        <v>Urban</v>
      </c>
      <c r="BJ46" t="str">
        <f t="shared" si="64"/>
        <v>Urban</v>
      </c>
      <c r="BK46" t="str">
        <f t="shared" si="64"/>
        <v>Urban</v>
      </c>
      <c r="BL46" t="str">
        <f t="shared" si="65"/>
        <v>Urban</v>
      </c>
      <c r="BM46" t="str">
        <f t="shared" si="65"/>
        <v>Urban</v>
      </c>
      <c r="BN46" t="str">
        <f t="shared" si="65"/>
        <v>Urban</v>
      </c>
      <c r="BO46" t="str">
        <f t="shared" si="65"/>
        <v>Urban</v>
      </c>
    </row>
  </sheetData>
  <sheetProtection algorithmName="SHA-512" hashValue="XiWxHdG4K3w0GfkGC1VcI1IXVC+rNR9e66A0Whlzm4IUYAJr40A8w328eEhP3slRcLKWvpbkNaRBA4ehsyQt8A==" saltValue="kodQs2QkN11XT1c6qS6BG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rgb="FF92D050"/>
  </sheetPr>
  <dimension ref="C1:AC51"/>
  <sheetViews>
    <sheetView showGridLines="0" zoomScale="85" zoomScaleNormal="85" workbookViewId="0">
      <pane xSplit="7" ySplit="7" topLeftCell="O8" activePane="bottomRight" state="frozen"/>
      <selection activeCell="H8" sqref="H8"/>
      <selection pane="topRight" activeCell="H8" sqref="H8"/>
      <selection pane="bottomLeft" activeCell="H8" sqref="H8"/>
      <selection pane="bottomRight" activeCell="U12" sqref="U12"/>
    </sheetView>
  </sheetViews>
  <sheetFormatPr defaultColWidth="9.28515625" defaultRowHeight="12"/>
  <cols>
    <col min="1" max="2" width="2.85546875" customWidth="1"/>
    <col min="3" max="3" width="26.85546875" customWidth="1"/>
    <col min="4" max="4" width="19.140625" bestFit="1" customWidth="1"/>
    <col min="5" max="6" width="9.28515625" customWidth="1"/>
    <col min="7" max="7" width="46.85546875" bestFit="1" customWidth="1"/>
    <col min="8" max="18" width="12.85546875" customWidth="1"/>
    <col min="19" max="19" width="15.140625" customWidth="1"/>
    <col min="20" max="20" width="19.85546875" customWidth="1"/>
    <col min="21" max="26" width="12.85546875" customWidth="1"/>
  </cols>
  <sheetData>
    <row r="1" spans="3:29" ht="3.9" customHeight="1"/>
    <row r="2" spans="3:29" ht="33" customHeight="1"/>
    <row r="3" spans="3:29" ht="3.9" customHeight="1"/>
    <row r="4" spans="3:29" ht="15">
      <c r="C4" s="1" t="str">
        <f>"Small Power User | Tariff Inputs | "&amp;New_Period</f>
        <v>Small Power User | Tariff Inputs | 2026/27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3:29" ht="13.8">
      <c r="O5" s="77"/>
      <c r="P5" s="77"/>
      <c r="Q5" s="77"/>
      <c r="R5" s="77"/>
      <c r="S5" s="77"/>
      <c r="T5" s="77"/>
      <c r="U5" s="78" t="s">
        <v>235</v>
      </c>
      <c r="V5" s="77"/>
      <c r="W5" s="77"/>
      <c r="X5" s="77"/>
      <c r="Y5" s="77"/>
      <c r="Z5" s="77"/>
    </row>
    <row r="6" spans="3:29" ht="13.8">
      <c r="C6" s="19" t="s">
        <v>119</v>
      </c>
      <c r="D6" s="11"/>
      <c r="E6" s="11"/>
      <c r="F6" s="12"/>
      <c r="G6" s="14"/>
      <c r="H6" s="13"/>
      <c r="I6" s="79" t="s">
        <v>181</v>
      </c>
      <c r="J6" s="79" t="s">
        <v>313</v>
      </c>
      <c r="K6" s="79" t="s">
        <v>314</v>
      </c>
      <c r="L6" s="79" t="s">
        <v>315</v>
      </c>
      <c r="M6" s="79" t="s">
        <v>316</v>
      </c>
      <c r="N6" s="79" t="s">
        <v>317</v>
      </c>
      <c r="O6" s="79" t="s">
        <v>189</v>
      </c>
      <c r="P6" s="80" t="s">
        <v>192</v>
      </c>
      <c r="Q6" s="80" t="s">
        <v>181</v>
      </c>
      <c r="R6" s="80" t="s">
        <v>188</v>
      </c>
      <c r="S6" s="134" t="s">
        <v>187</v>
      </c>
      <c r="T6" s="80" t="s">
        <v>187</v>
      </c>
      <c r="U6" s="80" t="s">
        <v>190</v>
      </c>
      <c r="V6" s="80" t="s">
        <v>191</v>
      </c>
      <c r="W6" s="81"/>
      <c r="X6" s="163" t="s">
        <v>383</v>
      </c>
      <c r="Y6" s="155" t="s">
        <v>375</v>
      </c>
      <c r="Z6" s="155" t="s">
        <v>376</v>
      </c>
    </row>
    <row r="7" spans="3:29" ht="69">
      <c r="C7" s="23" t="s">
        <v>20</v>
      </c>
      <c r="D7" s="24" t="s">
        <v>21</v>
      </c>
      <c r="E7" s="24" t="s">
        <v>77</v>
      </c>
      <c r="F7" s="24" t="s">
        <v>90</v>
      </c>
      <c r="G7" s="24" t="s">
        <v>56</v>
      </c>
      <c r="H7" s="24" t="s">
        <v>168</v>
      </c>
      <c r="I7" s="24" t="s">
        <v>318</v>
      </c>
      <c r="J7" s="24" t="s">
        <v>319</v>
      </c>
      <c r="K7" s="24" t="s">
        <v>320</v>
      </c>
      <c r="L7" s="24" t="s">
        <v>321</v>
      </c>
      <c r="M7" s="24" t="s">
        <v>322</v>
      </c>
      <c r="N7" s="24" t="s">
        <v>323</v>
      </c>
      <c r="O7" s="24" t="s">
        <v>110</v>
      </c>
      <c r="P7" s="24" t="s">
        <v>117</v>
      </c>
      <c r="Q7" s="24" t="s">
        <v>105</v>
      </c>
      <c r="R7" s="24" t="s">
        <v>256</v>
      </c>
      <c r="S7" s="24" t="s">
        <v>99</v>
      </c>
      <c r="T7" s="24" t="s">
        <v>332</v>
      </c>
      <c r="U7" s="24" t="s">
        <v>257</v>
      </c>
      <c r="V7" s="24" t="s">
        <v>100</v>
      </c>
      <c r="W7" s="33" t="s">
        <v>122</v>
      </c>
      <c r="X7" s="24" t="s">
        <v>382</v>
      </c>
      <c r="Y7" s="156" t="s">
        <v>377</v>
      </c>
      <c r="Z7" s="156" t="s">
        <v>378</v>
      </c>
      <c r="AC7" s="120" t="s">
        <v>282</v>
      </c>
    </row>
    <row r="8" spans="3:29" ht="13.8">
      <c r="C8" s="64" t="s">
        <v>101</v>
      </c>
      <c r="D8" s="64" t="s">
        <v>53</v>
      </c>
      <c r="E8" s="64"/>
      <c r="F8" s="64"/>
      <c r="G8" s="64" t="str">
        <f>C8&amp;"_"&amp;D8</f>
        <v>Businessrate 1_Non-Local Authority</v>
      </c>
      <c r="H8" s="64" t="str">
        <f t="shared" ref="H8:H48" si="0">INDEX(Matrix_Tariff_Map,MATCH(C8,Matrix_Model_Tariffs,0),2)&amp;IFERROR(INDEX(Matrix_Transmission_Map,MATCH(E8,Matrix_Model_Transmission,0),2),0)&amp;IFERROR(INDEX(Matrix_Voltage_Map,MATCH(F8,Matrix_Model_Voltage,0),2),1)&amp;INDEX(Matrix_Category_Map,MATCH(D8,Matrix_Model_Category,0),2)</f>
        <v>B101N</v>
      </c>
      <c r="I8" s="64">
        <v>0</v>
      </c>
      <c r="J8" s="64">
        <v>0</v>
      </c>
      <c r="K8" s="64">
        <v>0</v>
      </c>
      <c r="L8" s="64">
        <v>0</v>
      </c>
      <c r="M8" s="64">
        <v>0</v>
      </c>
      <c r="N8" s="64">
        <v>0</v>
      </c>
      <c r="O8" s="73">
        <v>0</v>
      </c>
      <c r="P8" s="73">
        <v>0</v>
      </c>
      <c r="Q8" s="74">
        <v>242.9</v>
      </c>
      <c r="R8" s="74">
        <v>0.45</v>
      </c>
      <c r="S8" s="74">
        <v>15.81</v>
      </c>
      <c r="T8" s="74"/>
      <c r="U8" s="74">
        <v>22.12</v>
      </c>
      <c r="V8" s="74">
        <v>15.99</v>
      </c>
      <c r="W8" s="73" t="s">
        <v>324</v>
      </c>
      <c r="X8" s="75">
        <v>5.37</v>
      </c>
      <c r="Y8" s="75">
        <v>3</v>
      </c>
      <c r="Z8" s="75">
        <v>0</v>
      </c>
    </row>
    <row r="9" spans="3:29" ht="13.8">
      <c r="C9" s="64" t="s">
        <v>102</v>
      </c>
      <c r="D9" s="64" t="s">
        <v>53</v>
      </c>
      <c r="E9" s="64"/>
      <c r="F9" s="64"/>
      <c r="G9" s="64" t="str">
        <f>C9&amp;"_"&amp;D9</f>
        <v>Businessrate 2_Non-Local Authority</v>
      </c>
      <c r="H9" s="64" t="str">
        <f t="shared" si="0"/>
        <v>B201N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73">
        <v>0</v>
      </c>
      <c r="P9" s="73">
        <v>0</v>
      </c>
      <c r="Q9" s="75">
        <v>242.9</v>
      </c>
      <c r="R9" s="75">
        <v>0.45</v>
      </c>
      <c r="S9" s="75">
        <v>15.81</v>
      </c>
      <c r="T9" s="75"/>
      <c r="U9" s="75">
        <v>32.86</v>
      </c>
      <c r="V9" s="75">
        <v>15.99</v>
      </c>
      <c r="W9" s="73" t="s">
        <v>324</v>
      </c>
      <c r="X9" s="75">
        <v>5.37</v>
      </c>
      <c r="Y9" s="75">
        <v>4.4800000000000004</v>
      </c>
      <c r="Z9" s="75">
        <v>0</v>
      </c>
    </row>
    <row r="10" spans="3:29" ht="13.8">
      <c r="C10" s="64" t="s">
        <v>103</v>
      </c>
      <c r="D10" s="64" t="s">
        <v>53</v>
      </c>
      <c r="E10" s="64"/>
      <c r="F10" s="64"/>
      <c r="G10" s="64" t="str">
        <f>C10&amp;"_"&amp;D10</f>
        <v>Businessrate 3_Non-Local Authority</v>
      </c>
      <c r="H10" s="64" t="str">
        <f t="shared" si="0"/>
        <v>B301N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73">
        <v>0</v>
      </c>
      <c r="P10" s="73">
        <v>0</v>
      </c>
      <c r="Q10" s="75">
        <v>242.9</v>
      </c>
      <c r="R10" s="75">
        <v>0.45</v>
      </c>
      <c r="S10" s="75">
        <v>15.81</v>
      </c>
      <c r="T10" s="75"/>
      <c r="U10" s="75">
        <v>81.98</v>
      </c>
      <c r="V10" s="75">
        <v>15.99</v>
      </c>
      <c r="W10" s="73" t="s">
        <v>324</v>
      </c>
      <c r="X10" s="75">
        <v>5.37</v>
      </c>
      <c r="Y10" s="75">
        <v>11.18</v>
      </c>
      <c r="Z10" s="75">
        <v>0</v>
      </c>
    </row>
    <row r="11" spans="3:29" ht="13.8">
      <c r="C11" s="64" t="s">
        <v>104</v>
      </c>
      <c r="D11" s="64" t="s">
        <v>53</v>
      </c>
      <c r="E11" s="64"/>
      <c r="F11" s="64"/>
      <c r="G11" s="64" t="str">
        <f>C11&amp;"_"&amp;D11</f>
        <v>Businessrate 4_Non-Local Authority</v>
      </c>
      <c r="H11" s="64" t="str">
        <f t="shared" si="0"/>
        <v>B401N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73">
        <v>0</v>
      </c>
      <c r="P11" s="73">
        <v>0</v>
      </c>
      <c r="Q11" s="75">
        <v>378.06</v>
      </c>
      <c r="R11" s="75">
        <v>0.45</v>
      </c>
      <c r="S11" s="75">
        <v>15.81</v>
      </c>
      <c r="T11" s="75"/>
      <c r="U11" s="73">
        <v>0</v>
      </c>
      <c r="V11" s="73">
        <v>0</v>
      </c>
      <c r="W11" s="73" t="s">
        <v>324</v>
      </c>
      <c r="X11" s="75">
        <v>5.37</v>
      </c>
      <c r="Y11" s="75">
        <v>0</v>
      </c>
      <c r="Z11" s="75">
        <v>0</v>
      </c>
    </row>
    <row r="12" spans="3:29" ht="13.8">
      <c r="C12" s="64" t="s">
        <v>234</v>
      </c>
      <c r="D12" s="64" t="s">
        <v>53</v>
      </c>
      <c r="E12" s="64"/>
      <c r="F12" s="64"/>
      <c r="G12" s="64" t="str">
        <f>C12&amp;"_"&amp;D12</f>
        <v>Homepower Bulk_Non-Local Authority</v>
      </c>
      <c r="H12" s="64" t="str">
        <f t="shared" si="0"/>
        <v>HB01N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73">
        <v>0</v>
      </c>
      <c r="P12" s="73">
        <v>0</v>
      </c>
      <c r="Q12" s="75">
        <v>280.05</v>
      </c>
      <c r="R12" s="73">
        <v>0.45</v>
      </c>
      <c r="S12" s="73">
        <v>28.68</v>
      </c>
      <c r="T12" s="73"/>
      <c r="U12" s="75">
        <v>60.17</v>
      </c>
      <c r="V12" s="73">
        <v>5.74</v>
      </c>
      <c r="W12" s="73" t="s">
        <v>324</v>
      </c>
      <c r="X12" s="75">
        <v>0</v>
      </c>
      <c r="Y12" s="75">
        <v>7.25</v>
      </c>
      <c r="Z12" s="75">
        <v>0</v>
      </c>
    </row>
    <row r="13" spans="3:29" ht="13.8">
      <c r="C13" s="64" t="s">
        <v>106</v>
      </c>
      <c r="D13" s="64" t="s">
        <v>53</v>
      </c>
      <c r="E13" s="64"/>
      <c r="F13" s="64"/>
      <c r="G13" s="64" t="str">
        <f t="shared" ref="G13:G23" si="1">C13&amp;"_"&amp;D13</f>
        <v>Homepower 1_Non-Local Authority</v>
      </c>
      <c r="H13" s="64" t="str">
        <f t="shared" si="0"/>
        <v>H101N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73"/>
      <c r="P13" s="75"/>
      <c r="Q13" s="75">
        <v>280.05</v>
      </c>
      <c r="R13" s="73">
        <v>0.45</v>
      </c>
      <c r="S13" s="73">
        <v>28.68</v>
      </c>
      <c r="T13" s="73"/>
      <c r="U13" s="75">
        <v>13.19</v>
      </c>
      <c r="V13" s="73">
        <v>5.74</v>
      </c>
      <c r="W13" s="73" t="s">
        <v>324</v>
      </c>
      <c r="X13" s="75">
        <v>0</v>
      </c>
      <c r="Y13" s="75">
        <v>1.0900000000000001</v>
      </c>
      <c r="Z13" s="75">
        <v>0</v>
      </c>
    </row>
    <row r="14" spans="3:29" ht="13.8">
      <c r="C14" s="64" t="s">
        <v>107</v>
      </c>
      <c r="D14" s="64" t="s">
        <v>53</v>
      </c>
      <c r="E14" s="64"/>
      <c r="F14" s="64"/>
      <c r="G14" s="64" t="str">
        <f t="shared" si="1"/>
        <v>Homepower 2_Non-Local Authority</v>
      </c>
      <c r="H14" s="64" t="str">
        <f t="shared" si="0"/>
        <v>H201N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73"/>
      <c r="P14" s="75"/>
      <c r="Q14" s="75">
        <v>280.05</v>
      </c>
      <c r="R14" s="73">
        <v>0.45</v>
      </c>
      <c r="S14" s="73">
        <v>28.68</v>
      </c>
      <c r="T14" s="73"/>
      <c r="U14" s="75">
        <v>29.44</v>
      </c>
      <c r="V14" s="73">
        <v>5.74</v>
      </c>
      <c r="W14" s="73" t="s">
        <v>324</v>
      </c>
      <c r="X14" s="75">
        <v>0</v>
      </c>
      <c r="Y14" s="75">
        <v>1.93</v>
      </c>
      <c r="Z14" s="75">
        <v>0</v>
      </c>
    </row>
    <row r="15" spans="3:29" ht="13.8">
      <c r="C15" s="64" t="s">
        <v>108</v>
      </c>
      <c r="D15" s="64" t="s">
        <v>53</v>
      </c>
      <c r="E15" s="64"/>
      <c r="F15" s="64"/>
      <c r="G15" s="64" t="str">
        <f t="shared" si="1"/>
        <v>Homepower 3_Non-Local Authority</v>
      </c>
      <c r="H15" s="64" t="str">
        <f t="shared" si="0"/>
        <v>H301N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73"/>
      <c r="P15" s="75"/>
      <c r="Q15" s="75">
        <v>280.05</v>
      </c>
      <c r="R15" s="73">
        <v>0.45</v>
      </c>
      <c r="S15" s="73">
        <v>28.68</v>
      </c>
      <c r="T15" s="73"/>
      <c r="U15" s="75">
        <v>62.89</v>
      </c>
      <c r="V15" s="73">
        <v>5.74</v>
      </c>
      <c r="W15" s="73" t="s">
        <v>324</v>
      </c>
      <c r="X15" s="75">
        <v>0</v>
      </c>
      <c r="Y15" s="75">
        <v>4.7</v>
      </c>
      <c r="Z15" s="75">
        <v>0</v>
      </c>
    </row>
    <row r="16" spans="3:29" ht="13.8">
      <c r="C16" s="64" t="s">
        <v>109</v>
      </c>
      <c r="D16" s="64" t="s">
        <v>53</v>
      </c>
      <c r="E16" s="64"/>
      <c r="F16" s="64"/>
      <c r="G16" s="64" t="str">
        <f t="shared" si="1"/>
        <v>Homepower 4_Non-Local Authority</v>
      </c>
      <c r="H16" s="64" t="str">
        <f t="shared" si="0"/>
        <v>H401N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73"/>
      <c r="P16" s="75"/>
      <c r="Q16" s="75">
        <v>280.05</v>
      </c>
      <c r="R16" s="73">
        <v>0.45</v>
      </c>
      <c r="S16" s="73">
        <v>28.68</v>
      </c>
      <c r="T16" s="73"/>
      <c r="U16" s="75">
        <v>9.08</v>
      </c>
      <c r="V16" s="73">
        <v>5.74</v>
      </c>
      <c r="W16" s="73" t="s">
        <v>324</v>
      </c>
      <c r="X16" s="75">
        <v>0</v>
      </c>
      <c r="Y16" s="75">
        <v>0.71</v>
      </c>
      <c r="Z16" s="75">
        <v>0</v>
      </c>
    </row>
    <row r="17" spans="3:26" ht="13.8">
      <c r="C17" s="64" t="s">
        <v>111</v>
      </c>
      <c r="D17" s="64" t="s">
        <v>53</v>
      </c>
      <c r="E17" s="64"/>
      <c r="F17" s="64"/>
      <c r="G17" s="64" t="str">
        <f t="shared" si="1"/>
        <v>Homelight 20A_Non-Local Authority</v>
      </c>
      <c r="H17" s="64" t="str">
        <f t="shared" si="0"/>
        <v>HL2001N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73"/>
      <c r="P17" s="75"/>
      <c r="Q17" s="75">
        <v>235.04</v>
      </c>
      <c r="R17" s="73">
        <v>0</v>
      </c>
      <c r="S17" s="73">
        <v>0</v>
      </c>
      <c r="T17" s="73"/>
      <c r="U17" s="73">
        <v>0</v>
      </c>
      <c r="V17" s="73">
        <v>0</v>
      </c>
      <c r="W17" s="73" t="s">
        <v>324</v>
      </c>
      <c r="X17" s="75">
        <v>0</v>
      </c>
      <c r="Y17" s="75">
        <v>0</v>
      </c>
      <c r="Z17" s="75">
        <v>0</v>
      </c>
    </row>
    <row r="18" spans="3:26" ht="13.8">
      <c r="C18" s="64" t="s">
        <v>112</v>
      </c>
      <c r="D18" s="64" t="s">
        <v>53</v>
      </c>
      <c r="E18" s="64"/>
      <c r="F18" s="64"/>
      <c r="G18" s="64" t="str">
        <f t="shared" si="1"/>
        <v>Homelight 60A_Non-Local Authority</v>
      </c>
      <c r="H18" s="64" t="str">
        <f t="shared" si="0"/>
        <v>HL6001N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73"/>
      <c r="P18" s="75"/>
      <c r="Q18" s="75">
        <v>298.79000000000002</v>
      </c>
      <c r="R18" s="73">
        <v>0</v>
      </c>
      <c r="S18" s="73">
        <v>0</v>
      </c>
      <c r="T18" s="73"/>
      <c r="U18" s="73">
        <v>0</v>
      </c>
      <c r="V18" s="73">
        <v>0</v>
      </c>
      <c r="W18" s="73" t="s">
        <v>324</v>
      </c>
      <c r="X18" s="75">
        <v>0</v>
      </c>
      <c r="Y18" s="75">
        <v>0</v>
      </c>
      <c r="Z18" s="75">
        <v>0</v>
      </c>
    </row>
    <row r="19" spans="3:26" ht="13.8">
      <c r="C19" s="64" t="s">
        <v>113</v>
      </c>
      <c r="D19" s="64" t="s">
        <v>53</v>
      </c>
      <c r="E19" s="64"/>
      <c r="F19" s="64"/>
      <c r="G19" s="64" t="str">
        <f t="shared" si="1"/>
        <v>Landrate 1_Non-Local Authority</v>
      </c>
      <c r="H19" s="64" t="str">
        <f t="shared" si="0"/>
        <v>L101N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73">
        <v>0</v>
      </c>
      <c r="P19" s="73">
        <v>0</v>
      </c>
      <c r="Q19" s="75">
        <v>242.9</v>
      </c>
      <c r="R19" s="75">
        <v>0.45</v>
      </c>
      <c r="S19" s="75">
        <v>67.06</v>
      </c>
      <c r="T19" s="75"/>
      <c r="U19" s="75">
        <v>67.650000000000006</v>
      </c>
      <c r="V19" s="75">
        <v>26.65</v>
      </c>
      <c r="W19" s="73" t="s">
        <v>324</v>
      </c>
      <c r="X19" s="75">
        <v>0</v>
      </c>
      <c r="Y19" s="75">
        <v>4.1100000000000003</v>
      </c>
      <c r="Z19" s="75">
        <v>0</v>
      </c>
    </row>
    <row r="20" spans="3:26" ht="13.8">
      <c r="C20" s="64" t="s">
        <v>114</v>
      </c>
      <c r="D20" s="64" t="s">
        <v>53</v>
      </c>
      <c r="E20" s="64"/>
      <c r="F20" s="64"/>
      <c r="G20" s="64" t="str">
        <f t="shared" si="1"/>
        <v>Landrate 2_Non-Local Authority</v>
      </c>
      <c r="H20" s="64" t="str">
        <f t="shared" si="0"/>
        <v>L201N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73">
        <v>0</v>
      </c>
      <c r="P20" s="73">
        <v>0</v>
      </c>
      <c r="Q20" s="75">
        <v>242.9</v>
      </c>
      <c r="R20" s="75">
        <v>0.45</v>
      </c>
      <c r="S20" s="75">
        <v>67.06</v>
      </c>
      <c r="T20" s="75"/>
      <c r="U20" s="75">
        <v>105.49</v>
      </c>
      <c r="V20" s="75">
        <v>26.65</v>
      </c>
      <c r="W20" s="73" t="s">
        <v>324</v>
      </c>
      <c r="X20" s="75">
        <v>0</v>
      </c>
      <c r="Y20" s="75">
        <v>8.15</v>
      </c>
      <c r="Z20" s="75">
        <v>0</v>
      </c>
    </row>
    <row r="21" spans="3:26" ht="13.8">
      <c r="C21" s="64" t="s">
        <v>115</v>
      </c>
      <c r="D21" s="64" t="s">
        <v>53</v>
      </c>
      <c r="E21" s="64"/>
      <c r="F21" s="64"/>
      <c r="G21" s="64" t="str">
        <f t="shared" si="1"/>
        <v>Landrate 3_Non-Local Authority</v>
      </c>
      <c r="H21" s="64" t="str">
        <f t="shared" si="0"/>
        <v>L301N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73">
        <v>0</v>
      </c>
      <c r="P21" s="73">
        <v>0</v>
      </c>
      <c r="Q21" s="75">
        <v>242.9</v>
      </c>
      <c r="R21" s="75">
        <v>0.45</v>
      </c>
      <c r="S21" s="75">
        <v>67.06</v>
      </c>
      <c r="T21" s="75"/>
      <c r="U21" s="75">
        <v>168.93</v>
      </c>
      <c r="V21" s="75">
        <v>26.65</v>
      </c>
      <c r="W21" s="73" t="s">
        <v>324</v>
      </c>
      <c r="X21" s="75">
        <v>0</v>
      </c>
      <c r="Y21" s="75">
        <v>15.93</v>
      </c>
      <c r="Z21" s="75">
        <v>0</v>
      </c>
    </row>
    <row r="22" spans="3:26" ht="13.8">
      <c r="C22" s="64" t="s">
        <v>116</v>
      </c>
      <c r="D22" s="64" t="s">
        <v>53</v>
      </c>
      <c r="E22" s="64"/>
      <c r="F22" s="64"/>
      <c r="G22" s="64" t="str">
        <f t="shared" si="1"/>
        <v>Landrate 4_Non-Local Authority</v>
      </c>
      <c r="H22" s="64" t="str">
        <f t="shared" si="0"/>
        <v>L401N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73">
        <v>0</v>
      </c>
      <c r="P22" s="73">
        <v>0</v>
      </c>
      <c r="Q22" s="75">
        <v>398.82</v>
      </c>
      <c r="R22" s="75">
        <v>0.45</v>
      </c>
      <c r="S22" s="75">
        <v>67.06</v>
      </c>
      <c r="T22" s="75"/>
      <c r="U22" s="75">
        <v>49.94</v>
      </c>
      <c r="V22" s="73">
        <v>0</v>
      </c>
      <c r="W22" s="73" t="s">
        <v>324</v>
      </c>
      <c r="X22" s="75">
        <v>0</v>
      </c>
      <c r="Y22" s="75">
        <v>2.7</v>
      </c>
      <c r="Z22" s="75">
        <v>0</v>
      </c>
    </row>
    <row r="23" spans="3:26" ht="13.8">
      <c r="C23" s="64" t="s">
        <v>118</v>
      </c>
      <c r="D23" s="64" t="s">
        <v>53</v>
      </c>
      <c r="E23" s="64"/>
      <c r="F23" s="64"/>
      <c r="G23" s="64" t="str">
        <f t="shared" si="1"/>
        <v>Landrate Dx_Non-Local Authority</v>
      </c>
      <c r="H23" s="64" t="str">
        <f t="shared" si="0"/>
        <v>Ld01N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/>
      <c r="U23" s="73">
        <v>0</v>
      </c>
      <c r="V23" s="75">
        <v>94.62</v>
      </c>
      <c r="W23" s="73" t="s">
        <v>324</v>
      </c>
      <c r="X23" s="75">
        <v>0</v>
      </c>
      <c r="Y23" s="75">
        <v>0</v>
      </c>
      <c r="Z23" s="75">
        <v>0</v>
      </c>
    </row>
    <row r="24" spans="3:26" ht="13.8">
      <c r="C24" s="64" t="s">
        <v>263</v>
      </c>
      <c r="D24" s="64" t="s">
        <v>53</v>
      </c>
      <c r="E24" s="64"/>
      <c r="F24" s="64"/>
      <c r="G24" s="64" t="str">
        <f t="shared" ref="G24:G37" si="2">C24&amp;"_"&amp;D24</f>
        <v>Landlight 20A_Non-Local Authority</v>
      </c>
      <c r="H24" s="64" t="str">
        <f t="shared" ref="H24:H32" si="3">INDEX(Matrix_Tariff_Map,MATCH(C24,Matrix_Model_Tariffs,0),2)&amp;IFERROR(INDEX(Matrix_Transmission_Map,MATCH(E24,Matrix_Model_Transmission,0),2),0)&amp;IFERROR(INDEX(Matrix_Voltage_Map,MATCH(F24,Matrix_Model_Voltage,0),2),1)&amp;INDEX(Matrix_Category_Map,MATCH(D24,Matrix_Model_Category,0),2)</f>
        <v>Lt2001N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73">
        <v>0</v>
      </c>
      <c r="P24" s="73">
        <v>0</v>
      </c>
      <c r="Q24" s="75">
        <v>656.41</v>
      </c>
      <c r="R24" s="75">
        <v>0</v>
      </c>
      <c r="S24" s="75">
        <v>0</v>
      </c>
      <c r="T24" s="75"/>
      <c r="U24" s="75">
        <v>0</v>
      </c>
      <c r="V24" s="73">
        <v>0</v>
      </c>
      <c r="W24" s="73" t="s">
        <v>324</v>
      </c>
      <c r="X24" s="75">
        <v>0</v>
      </c>
      <c r="Y24" s="75">
        <v>0</v>
      </c>
      <c r="Z24" s="75">
        <v>0</v>
      </c>
    </row>
    <row r="25" spans="3:26" ht="13.8">
      <c r="C25" s="64" t="s">
        <v>264</v>
      </c>
      <c r="D25" s="64" t="s">
        <v>53</v>
      </c>
      <c r="E25" s="64"/>
      <c r="F25" s="64"/>
      <c r="G25" s="64" t="str">
        <f t="shared" si="2"/>
        <v>Landlight 60A_Non-Local Authority</v>
      </c>
      <c r="H25" s="64" t="str">
        <f t="shared" si="3"/>
        <v>Lt6001N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73">
        <v>0</v>
      </c>
      <c r="P25" s="73">
        <v>0</v>
      </c>
      <c r="Q25" s="75">
        <v>909.23</v>
      </c>
      <c r="R25" s="75">
        <v>0</v>
      </c>
      <c r="S25" s="75">
        <v>0</v>
      </c>
      <c r="T25" s="75"/>
      <c r="U25" s="75">
        <v>0</v>
      </c>
      <c r="V25" s="73">
        <v>0</v>
      </c>
      <c r="W25" s="73" t="s">
        <v>324</v>
      </c>
      <c r="X25" s="75">
        <v>0</v>
      </c>
      <c r="Y25" s="75">
        <v>0</v>
      </c>
      <c r="Z25" s="75">
        <v>0</v>
      </c>
    </row>
    <row r="26" spans="3:26" ht="13.8">
      <c r="C26" s="64" t="s">
        <v>237</v>
      </c>
      <c r="D26" s="64" t="s">
        <v>53</v>
      </c>
      <c r="E26" s="64"/>
      <c r="F26" s="64"/>
      <c r="G26" s="64" t="str">
        <f t="shared" si="2"/>
        <v>Public Lighting All Night_Non-Local Authority</v>
      </c>
      <c r="H26" s="64" t="str">
        <f t="shared" si="3"/>
        <v>Pa01N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73">
        <v>0</v>
      </c>
      <c r="P26" s="73">
        <v>0</v>
      </c>
      <c r="Q26" s="75">
        <v>263.32</v>
      </c>
      <c r="R26" s="75">
        <v>0</v>
      </c>
      <c r="S26" s="75">
        <v>0</v>
      </c>
      <c r="T26" s="75"/>
      <c r="U26" s="75">
        <v>0</v>
      </c>
      <c r="V26" s="75">
        <v>0</v>
      </c>
      <c r="W26" s="73" t="s">
        <v>324</v>
      </c>
      <c r="X26" s="75">
        <v>0</v>
      </c>
      <c r="Y26" s="75">
        <v>0</v>
      </c>
      <c r="Z26" s="75">
        <v>0</v>
      </c>
    </row>
    <row r="27" spans="3:26" ht="13.8">
      <c r="C27" s="64" t="s">
        <v>238</v>
      </c>
      <c r="D27" s="64" t="s">
        <v>53</v>
      </c>
      <c r="E27" s="64"/>
      <c r="F27" s="64"/>
      <c r="G27" s="64" t="str">
        <f t="shared" si="2"/>
        <v>Public Lighting 24 Hours_Non-Local Authority</v>
      </c>
      <c r="H27" s="64" t="str">
        <f t="shared" si="3"/>
        <v>Pu01N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73">
        <v>0</v>
      </c>
      <c r="P27" s="73">
        <v>0</v>
      </c>
      <c r="Q27" s="75">
        <v>252.56</v>
      </c>
      <c r="R27" s="75">
        <v>0</v>
      </c>
      <c r="S27" s="75">
        <v>0</v>
      </c>
      <c r="T27" s="75"/>
      <c r="U27" s="75">
        <v>0</v>
      </c>
      <c r="V27" s="75">
        <v>0</v>
      </c>
      <c r="W27" s="73" t="s">
        <v>324</v>
      </c>
      <c r="X27" s="75">
        <v>0</v>
      </c>
      <c r="Y27" s="75">
        <v>0</v>
      </c>
      <c r="Z27" s="75">
        <v>0</v>
      </c>
    </row>
    <row r="28" spans="3:26" ht="13.8">
      <c r="C28" s="64" t="s">
        <v>239</v>
      </c>
      <c r="D28" s="64" t="s">
        <v>53</v>
      </c>
      <c r="E28" s="64"/>
      <c r="F28" s="64"/>
      <c r="G28" s="64" t="str">
        <f t="shared" si="2"/>
        <v>Public Lighting Urban Fixed_Non-Local Authority</v>
      </c>
      <c r="H28" s="64" t="str">
        <f t="shared" si="3"/>
        <v>Pt01N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88">
        <v>0</v>
      </c>
      <c r="P28" s="88">
        <v>0</v>
      </c>
      <c r="Q28" s="89">
        <v>0</v>
      </c>
      <c r="R28" s="89">
        <v>0</v>
      </c>
      <c r="S28" s="89">
        <v>0</v>
      </c>
      <c r="T28" s="89"/>
      <c r="U28" s="89">
        <v>0</v>
      </c>
      <c r="V28" s="89">
        <v>35.130000000000003</v>
      </c>
      <c r="W28" s="88" t="s">
        <v>324</v>
      </c>
      <c r="X28" s="75">
        <v>0</v>
      </c>
      <c r="Y28" s="75">
        <v>0</v>
      </c>
      <c r="Z28" s="75">
        <v>0</v>
      </c>
    </row>
    <row r="29" spans="3:26" ht="13.8">
      <c r="C29" s="123" t="s">
        <v>298</v>
      </c>
      <c r="D29" s="123" t="s">
        <v>53</v>
      </c>
      <c r="E29" s="123"/>
      <c r="F29" s="123"/>
      <c r="G29" s="64" t="str">
        <f t="shared" si="2"/>
        <v>Homeflex 1_Non-Local Authority</v>
      </c>
      <c r="H29" s="64" t="str">
        <f t="shared" si="3"/>
        <v>HF101N</v>
      </c>
      <c r="I29" s="64">
        <v>736.61</v>
      </c>
      <c r="J29" s="64">
        <v>225.38</v>
      </c>
      <c r="K29" s="64">
        <v>165.94</v>
      </c>
      <c r="L29" s="64">
        <v>343.09</v>
      </c>
      <c r="M29" s="64">
        <v>213.49</v>
      </c>
      <c r="N29" s="64">
        <v>165.94</v>
      </c>
      <c r="O29" s="124" t="s">
        <v>324</v>
      </c>
      <c r="P29" s="124" t="s">
        <v>324</v>
      </c>
      <c r="Q29" s="125" t="s">
        <v>324</v>
      </c>
      <c r="R29" s="125">
        <v>0.45</v>
      </c>
      <c r="S29" s="125">
        <v>28.68</v>
      </c>
      <c r="T29" s="125">
        <v>0</v>
      </c>
      <c r="U29" s="125">
        <v>13.19</v>
      </c>
      <c r="V29" s="125">
        <v>5.74</v>
      </c>
      <c r="W29" s="124" t="s">
        <v>324</v>
      </c>
      <c r="X29" s="75">
        <v>0</v>
      </c>
      <c r="Y29" s="75">
        <v>1.0900000000000001</v>
      </c>
      <c r="Z29" s="75">
        <v>24.78</v>
      </c>
    </row>
    <row r="30" spans="3:26" ht="13.8">
      <c r="C30" s="123" t="s">
        <v>299</v>
      </c>
      <c r="D30" s="123" t="s">
        <v>53</v>
      </c>
      <c r="E30" s="123"/>
      <c r="F30" s="123"/>
      <c r="G30" s="64" t="str">
        <f t="shared" si="2"/>
        <v>Homeflex 2_Non-Local Authority</v>
      </c>
      <c r="H30" s="64" t="str">
        <f t="shared" si="3"/>
        <v>HF201N</v>
      </c>
      <c r="I30" s="64">
        <v>736.61</v>
      </c>
      <c r="J30" s="64">
        <v>225.38</v>
      </c>
      <c r="K30" s="64">
        <v>165.94</v>
      </c>
      <c r="L30" s="64">
        <v>343.09</v>
      </c>
      <c r="M30" s="64">
        <v>213.49</v>
      </c>
      <c r="N30" s="64">
        <v>165.94</v>
      </c>
      <c r="O30" s="124" t="s">
        <v>324</v>
      </c>
      <c r="P30" s="124" t="s">
        <v>324</v>
      </c>
      <c r="Q30" s="125" t="s">
        <v>324</v>
      </c>
      <c r="R30" s="125">
        <v>0.45</v>
      </c>
      <c r="S30" s="125">
        <v>28.68</v>
      </c>
      <c r="T30" s="125">
        <v>0</v>
      </c>
      <c r="U30" s="125">
        <v>29.44</v>
      </c>
      <c r="V30" s="125">
        <v>5.74</v>
      </c>
      <c r="W30" s="124" t="s">
        <v>324</v>
      </c>
      <c r="X30" s="75">
        <v>0</v>
      </c>
      <c r="Y30" s="75">
        <v>1.93</v>
      </c>
      <c r="Z30" s="75">
        <v>24.78</v>
      </c>
    </row>
    <row r="31" spans="3:26" ht="13.8">
      <c r="C31" s="123" t="s">
        <v>300</v>
      </c>
      <c r="D31" s="123" t="s">
        <v>53</v>
      </c>
      <c r="E31" s="123"/>
      <c r="F31" s="123"/>
      <c r="G31" s="64" t="str">
        <f t="shared" si="2"/>
        <v>Homeflex 3_Non-Local Authority</v>
      </c>
      <c r="H31" s="64" t="str">
        <f t="shared" si="3"/>
        <v>HF301N</v>
      </c>
      <c r="I31" s="64">
        <v>736.61</v>
      </c>
      <c r="J31" s="64">
        <v>225.38</v>
      </c>
      <c r="K31" s="64">
        <v>165.94</v>
      </c>
      <c r="L31" s="64">
        <v>343.09</v>
      </c>
      <c r="M31" s="64">
        <v>213.49</v>
      </c>
      <c r="N31" s="64">
        <v>165.94</v>
      </c>
      <c r="O31" s="124" t="s">
        <v>324</v>
      </c>
      <c r="P31" s="124" t="s">
        <v>324</v>
      </c>
      <c r="Q31" s="125" t="s">
        <v>324</v>
      </c>
      <c r="R31" s="125">
        <v>0.45</v>
      </c>
      <c r="S31" s="125">
        <v>28.68</v>
      </c>
      <c r="T31" s="125">
        <v>0</v>
      </c>
      <c r="U31" s="125">
        <v>62.89</v>
      </c>
      <c r="V31" s="125">
        <v>5.74</v>
      </c>
      <c r="W31" s="124" t="s">
        <v>324</v>
      </c>
      <c r="X31" s="75">
        <v>0</v>
      </c>
      <c r="Y31" s="75">
        <v>4.7</v>
      </c>
      <c r="Z31" s="75">
        <v>24.78</v>
      </c>
    </row>
    <row r="32" spans="3:26" ht="14.4" thickBot="1">
      <c r="C32" s="123" t="s">
        <v>301</v>
      </c>
      <c r="D32" s="123" t="s">
        <v>53</v>
      </c>
      <c r="E32" s="123"/>
      <c r="F32" s="123"/>
      <c r="G32" s="64" t="str">
        <f t="shared" si="2"/>
        <v>Homeflex 4_Non-Local Authority</v>
      </c>
      <c r="H32" s="64" t="str">
        <f t="shared" si="3"/>
        <v>HF401N</v>
      </c>
      <c r="I32" s="64">
        <v>736.61</v>
      </c>
      <c r="J32" s="64">
        <v>225.38</v>
      </c>
      <c r="K32" s="64">
        <v>165.94</v>
      </c>
      <c r="L32" s="64">
        <v>343.09</v>
      </c>
      <c r="M32" s="64">
        <v>213.49</v>
      </c>
      <c r="N32" s="64">
        <v>165.94</v>
      </c>
      <c r="O32" s="124" t="s">
        <v>324</v>
      </c>
      <c r="P32" s="124" t="s">
        <v>324</v>
      </c>
      <c r="Q32" s="125" t="s">
        <v>324</v>
      </c>
      <c r="R32" s="125">
        <v>0.45</v>
      </c>
      <c r="S32" s="125">
        <v>28.68</v>
      </c>
      <c r="T32" s="125">
        <v>0</v>
      </c>
      <c r="U32" s="125">
        <v>9.08</v>
      </c>
      <c r="V32" s="125">
        <v>5.74</v>
      </c>
      <c r="W32" s="124" t="s">
        <v>324</v>
      </c>
      <c r="X32" s="89">
        <v>0</v>
      </c>
      <c r="Y32" s="89">
        <v>0.71</v>
      </c>
      <c r="Z32" s="89">
        <v>24.78</v>
      </c>
    </row>
    <row r="33" spans="3:26" ht="14.4" thickTop="1">
      <c r="C33" s="90" t="s">
        <v>362</v>
      </c>
      <c r="D33" s="90" t="s">
        <v>52</v>
      </c>
      <c r="E33" s="90"/>
      <c r="F33" s="90"/>
      <c r="G33" s="90" t="str">
        <f t="shared" si="2"/>
        <v>Municrate 1_Local Authority</v>
      </c>
      <c r="H33" s="90" t="s">
        <v>387</v>
      </c>
      <c r="I33" s="90">
        <v>0</v>
      </c>
      <c r="J33" s="90">
        <v>0</v>
      </c>
      <c r="K33" s="90">
        <v>0</v>
      </c>
      <c r="L33" s="90">
        <v>0</v>
      </c>
      <c r="M33" s="90">
        <v>0</v>
      </c>
      <c r="N33" s="90">
        <v>0</v>
      </c>
      <c r="O33" s="91">
        <v>0</v>
      </c>
      <c r="P33" s="91">
        <v>0</v>
      </c>
      <c r="Q33" s="92">
        <v>248.72</v>
      </c>
      <c r="R33" s="92">
        <v>0.45</v>
      </c>
      <c r="S33" s="92">
        <v>47.53</v>
      </c>
      <c r="T33" s="92"/>
      <c r="U33" s="92">
        <v>37.130000000000003</v>
      </c>
      <c r="V33" s="92">
        <v>20.5</v>
      </c>
      <c r="W33" s="91" t="s">
        <v>324</v>
      </c>
      <c r="X33" s="164" t="s">
        <v>324</v>
      </c>
      <c r="Y33" s="164">
        <v>3.3</v>
      </c>
      <c r="Z33" s="164" t="s">
        <v>324</v>
      </c>
    </row>
    <row r="34" spans="3:26" ht="13.8">
      <c r="C34" s="64" t="s">
        <v>364</v>
      </c>
      <c r="D34" s="64" t="s">
        <v>52</v>
      </c>
      <c r="E34" s="64"/>
      <c r="F34" s="64"/>
      <c r="G34" s="64" t="str">
        <f t="shared" si="2"/>
        <v>Municrate 2_Local Authority</v>
      </c>
      <c r="H34" s="64" t="s">
        <v>388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73">
        <v>0</v>
      </c>
      <c r="P34" s="73">
        <v>0</v>
      </c>
      <c r="Q34" s="76">
        <v>248.72</v>
      </c>
      <c r="R34" s="76">
        <v>0.45</v>
      </c>
      <c r="S34" s="76">
        <v>47.53</v>
      </c>
      <c r="T34" s="76"/>
      <c r="U34" s="76">
        <v>75.23</v>
      </c>
      <c r="V34" s="76">
        <v>20.5</v>
      </c>
      <c r="W34" s="73" t="s">
        <v>324</v>
      </c>
      <c r="X34" s="75" t="s">
        <v>324</v>
      </c>
      <c r="Y34" s="75">
        <v>6.09</v>
      </c>
      <c r="Z34" s="75" t="s">
        <v>324</v>
      </c>
    </row>
    <row r="35" spans="3:26" ht="13.8">
      <c r="C35" s="64" t="s">
        <v>365</v>
      </c>
      <c r="D35" s="64" t="s">
        <v>52</v>
      </c>
      <c r="E35" s="64"/>
      <c r="F35" s="64"/>
      <c r="G35" s="64" t="str">
        <f t="shared" si="2"/>
        <v>Municrate 3_Local Authority</v>
      </c>
      <c r="H35" s="64" t="s">
        <v>389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73">
        <v>0</v>
      </c>
      <c r="P35" s="73">
        <v>0</v>
      </c>
      <c r="Q35" s="76">
        <v>248.72</v>
      </c>
      <c r="R35" s="76">
        <v>0.45</v>
      </c>
      <c r="S35" s="76">
        <v>47.53</v>
      </c>
      <c r="T35" s="76"/>
      <c r="U35" s="76">
        <v>150.66</v>
      </c>
      <c r="V35" s="76">
        <v>20.5</v>
      </c>
      <c r="W35" s="73" t="s">
        <v>324</v>
      </c>
      <c r="X35" s="75" t="s">
        <v>324</v>
      </c>
      <c r="Y35" s="75">
        <v>12.85</v>
      </c>
      <c r="Z35" s="75" t="s">
        <v>324</v>
      </c>
    </row>
    <row r="36" spans="3:26" ht="13.8">
      <c r="C36" s="64" t="s">
        <v>366</v>
      </c>
      <c r="D36" s="64" t="s">
        <v>52</v>
      </c>
      <c r="E36" s="64"/>
      <c r="F36" s="64"/>
      <c r="G36" s="64" t="str">
        <f t="shared" si="2"/>
        <v>Municrate 4_Local Authority</v>
      </c>
      <c r="H36" s="64" t="s">
        <v>390</v>
      </c>
      <c r="I36" s="64">
        <v>0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73">
        <v>0</v>
      </c>
      <c r="P36" s="73">
        <v>0</v>
      </c>
      <c r="Q36" s="76">
        <v>378.05</v>
      </c>
      <c r="R36" s="76">
        <v>0.45</v>
      </c>
      <c r="S36" s="76">
        <v>47.53</v>
      </c>
      <c r="T36" s="76"/>
      <c r="U36" s="73">
        <v>0</v>
      </c>
      <c r="V36" s="73">
        <v>0</v>
      </c>
      <c r="W36" s="73" t="s">
        <v>324</v>
      </c>
      <c r="X36" s="75" t="s">
        <v>324</v>
      </c>
      <c r="Y36" s="75">
        <v>0</v>
      </c>
      <c r="Z36" s="75" t="s">
        <v>324</v>
      </c>
    </row>
    <row r="37" spans="3:26" ht="13.8">
      <c r="C37" s="64" t="s">
        <v>234</v>
      </c>
      <c r="D37" s="64" t="s">
        <v>52</v>
      </c>
      <c r="E37" s="64"/>
      <c r="F37" s="64"/>
      <c r="G37" s="64" t="str">
        <f t="shared" si="2"/>
        <v>Homepower Bulk_Local Authority</v>
      </c>
      <c r="H37" s="64" t="str">
        <f t="shared" si="0"/>
        <v>HB01Y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73">
        <v>0</v>
      </c>
      <c r="P37" s="73">
        <v>0</v>
      </c>
      <c r="Q37" s="73">
        <v>248.72</v>
      </c>
      <c r="R37" s="73">
        <v>0.45</v>
      </c>
      <c r="S37" s="73">
        <v>47.53</v>
      </c>
      <c r="T37" s="73"/>
      <c r="U37" s="73">
        <v>150.66</v>
      </c>
      <c r="V37" s="73">
        <v>20.5</v>
      </c>
      <c r="W37" s="73" t="s">
        <v>324</v>
      </c>
      <c r="X37" s="75" t="s">
        <v>324</v>
      </c>
      <c r="Y37" s="75" t="s">
        <v>324</v>
      </c>
      <c r="Z37" s="75" t="s">
        <v>324</v>
      </c>
    </row>
    <row r="38" spans="3:26" ht="13.8">
      <c r="C38" s="64" t="str">
        <f t="shared" ref="C38:C48" si="4">C13</f>
        <v>Homepower 1</v>
      </c>
      <c r="D38" s="64" t="s">
        <v>52</v>
      </c>
      <c r="E38" s="64"/>
      <c r="F38" s="64"/>
      <c r="G38" s="64" t="str">
        <f t="shared" ref="G38:G47" si="5">C38&amp;"_"&amp;D38</f>
        <v>Homepower 1_Local Authority</v>
      </c>
      <c r="H38" s="64" t="s">
        <v>387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4">
        <v>0</v>
      </c>
      <c r="O38" s="76">
        <v>0</v>
      </c>
      <c r="P38" s="76">
        <v>0</v>
      </c>
      <c r="Q38" s="73">
        <v>248.72</v>
      </c>
      <c r="R38" s="73">
        <v>0.45</v>
      </c>
      <c r="S38" s="73">
        <v>47.53</v>
      </c>
      <c r="T38" s="73"/>
      <c r="U38" s="76">
        <v>37.130000000000003</v>
      </c>
      <c r="V38" s="73">
        <v>20.5</v>
      </c>
      <c r="W38" s="73" t="s">
        <v>324</v>
      </c>
      <c r="X38" s="75" t="s">
        <v>324</v>
      </c>
      <c r="Y38" s="75" t="s">
        <v>324</v>
      </c>
      <c r="Z38" s="75" t="s">
        <v>324</v>
      </c>
    </row>
    <row r="39" spans="3:26" ht="13.8">
      <c r="C39" s="64" t="str">
        <f t="shared" si="4"/>
        <v>Homepower 2</v>
      </c>
      <c r="D39" s="64" t="s">
        <v>52</v>
      </c>
      <c r="E39" s="64"/>
      <c r="F39" s="64"/>
      <c r="G39" s="64" t="str">
        <f t="shared" si="5"/>
        <v>Homepower 2_Local Authority</v>
      </c>
      <c r="H39" s="64" t="s">
        <v>388</v>
      </c>
      <c r="I39" s="64">
        <v>0</v>
      </c>
      <c r="J39" s="64">
        <v>0</v>
      </c>
      <c r="K39" s="64">
        <v>0</v>
      </c>
      <c r="L39" s="64">
        <v>0</v>
      </c>
      <c r="M39" s="64">
        <v>0</v>
      </c>
      <c r="N39" s="64">
        <v>0</v>
      </c>
      <c r="O39" s="76">
        <v>0</v>
      </c>
      <c r="P39" s="76">
        <v>0</v>
      </c>
      <c r="Q39" s="73">
        <v>248.72</v>
      </c>
      <c r="R39" s="73">
        <v>0.45</v>
      </c>
      <c r="S39" s="73">
        <v>47.53</v>
      </c>
      <c r="T39" s="73"/>
      <c r="U39" s="76">
        <v>75.23</v>
      </c>
      <c r="V39" s="73">
        <v>20.5</v>
      </c>
      <c r="W39" s="73" t="s">
        <v>324</v>
      </c>
      <c r="X39" s="75" t="s">
        <v>324</v>
      </c>
      <c r="Y39" s="75" t="s">
        <v>324</v>
      </c>
      <c r="Z39" s="75" t="s">
        <v>324</v>
      </c>
    </row>
    <row r="40" spans="3:26" ht="13.8">
      <c r="C40" s="64" t="str">
        <f t="shared" si="4"/>
        <v>Homepower 3</v>
      </c>
      <c r="D40" s="64" t="s">
        <v>52</v>
      </c>
      <c r="E40" s="64"/>
      <c r="F40" s="64"/>
      <c r="G40" s="64" t="str">
        <f t="shared" si="5"/>
        <v>Homepower 3_Local Authority</v>
      </c>
      <c r="H40" s="64" t="s">
        <v>389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76">
        <v>0</v>
      </c>
      <c r="P40" s="76">
        <v>0</v>
      </c>
      <c r="Q40" s="73">
        <v>248.72</v>
      </c>
      <c r="R40" s="73">
        <v>0.45</v>
      </c>
      <c r="S40" s="73">
        <v>47.53</v>
      </c>
      <c r="T40" s="73"/>
      <c r="U40" s="76">
        <v>150.66</v>
      </c>
      <c r="V40" s="73">
        <v>20.5</v>
      </c>
      <c r="W40" s="73" t="s">
        <v>324</v>
      </c>
      <c r="X40" s="75" t="s">
        <v>324</v>
      </c>
      <c r="Y40" s="75" t="s">
        <v>324</v>
      </c>
      <c r="Z40" s="75" t="s">
        <v>324</v>
      </c>
    </row>
    <row r="41" spans="3:26" ht="13.8">
      <c r="C41" s="64" t="str">
        <f t="shared" si="4"/>
        <v>Homepower 4</v>
      </c>
      <c r="D41" s="64" t="s">
        <v>52</v>
      </c>
      <c r="E41" s="64"/>
      <c r="F41" s="64"/>
      <c r="G41" s="64" t="str">
        <f t="shared" si="5"/>
        <v>Homepower 4_Local Authority</v>
      </c>
      <c r="H41" s="64" t="s">
        <v>390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76">
        <v>0</v>
      </c>
      <c r="P41" s="76">
        <v>0</v>
      </c>
      <c r="Q41" s="73">
        <v>378.05</v>
      </c>
      <c r="R41" s="73">
        <v>0.45</v>
      </c>
      <c r="S41" s="73">
        <v>47.53</v>
      </c>
      <c r="T41" s="73"/>
      <c r="U41" s="76">
        <v>0</v>
      </c>
      <c r="V41" s="73">
        <v>0</v>
      </c>
      <c r="W41" s="73" t="s">
        <v>324</v>
      </c>
      <c r="X41" s="75" t="s">
        <v>324</v>
      </c>
      <c r="Y41" s="75" t="s">
        <v>324</v>
      </c>
      <c r="Z41" s="75" t="s">
        <v>324</v>
      </c>
    </row>
    <row r="42" spans="3:26" ht="13.8">
      <c r="C42" s="64" t="str">
        <f t="shared" si="4"/>
        <v>Homelight 20A</v>
      </c>
      <c r="D42" s="64" t="s">
        <v>52</v>
      </c>
      <c r="E42" s="64"/>
      <c r="F42" s="64"/>
      <c r="G42" s="64" t="str">
        <f t="shared" si="5"/>
        <v>Homelight 20A_Local Authority</v>
      </c>
      <c r="H42" s="64" t="str">
        <f t="shared" si="0"/>
        <v>HL2001Y</v>
      </c>
      <c r="I42" s="64">
        <v>0</v>
      </c>
      <c r="J42" s="64">
        <v>0</v>
      </c>
      <c r="K42" s="64">
        <v>0</v>
      </c>
      <c r="L42" s="64">
        <v>0</v>
      </c>
      <c r="M42" s="64">
        <v>0</v>
      </c>
      <c r="N42" s="64">
        <v>0</v>
      </c>
      <c r="O42" s="73">
        <v>0</v>
      </c>
      <c r="P42" s="73">
        <v>0</v>
      </c>
      <c r="Q42" s="73">
        <v>378.05</v>
      </c>
      <c r="R42" s="73">
        <v>0.45</v>
      </c>
      <c r="S42" s="73">
        <v>47.53</v>
      </c>
      <c r="T42" s="73"/>
      <c r="U42" s="73">
        <v>0</v>
      </c>
      <c r="V42" s="73">
        <v>0</v>
      </c>
      <c r="W42" s="73" t="s">
        <v>324</v>
      </c>
      <c r="X42" s="75" t="s">
        <v>324</v>
      </c>
      <c r="Y42" s="75" t="s">
        <v>324</v>
      </c>
      <c r="Z42" s="75" t="s">
        <v>324</v>
      </c>
    </row>
    <row r="43" spans="3:26" ht="13.8">
      <c r="C43" s="64" t="str">
        <f t="shared" si="4"/>
        <v>Homelight 60A</v>
      </c>
      <c r="D43" s="64" t="s">
        <v>52</v>
      </c>
      <c r="E43" s="64"/>
      <c r="F43" s="64"/>
      <c r="G43" s="64" t="str">
        <f t="shared" si="5"/>
        <v>Homelight 60A_Local Authority</v>
      </c>
      <c r="H43" s="64" t="str">
        <f t="shared" si="0"/>
        <v>HL6001Y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0</v>
      </c>
      <c r="O43" s="73">
        <v>0</v>
      </c>
      <c r="P43" s="73">
        <v>0</v>
      </c>
      <c r="Q43" s="73">
        <v>378.05</v>
      </c>
      <c r="R43" s="73">
        <v>0.45</v>
      </c>
      <c r="S43" s="73">
        <v>47.53</v>
      </c>
      <c r="T43" s="73"/>
      <c r="U43" s="73">
        <v>0</v>
      </c>
      <c r="V43" s="73">
        <v>0</v>
      </c>
      <c r="W43" s="73" t="s">
        <v>324</v>
      </c>
      <c r="X43" s="75" t="s">
        <v>324</v>
      </c>
      <c r="Y43" s="75" t="s">
        <v>324</v>
      </c>
      <c r="Z43" s="75" t="s">
        <v>324</v>
      </c>
    </row>
    <row r="44" spans="3:26" ht="13.8">
      <c r="C44" s="64" t="str">
        <f t="shared" si="4"/>
        <v>Landrate 1</v>
      </c>
      <c r="D44" s="64" t="s">
        <v>52</v>
      </c>
      <c r="E44" s="64"/>
      <c r="F44" s="64"/>
      <c r="G44" s="64" t="str">
        <f t="shared" si="5"/>
        <v>Landrate 1_Local Authority</v>
      </c>
      <c r="H44" s="64" t="s">
        <v>387</v>
      </c>
      <c r="I44" s="64">
        <v>0</v>
      </c>
      <c r="J44" s="64">
        <v>0</v>
      </c>
      <c r="K44" s="64">
        <v>0</v>
      </c>
      <c r="L44" s="64">
        <v>0</v>
      </c>
      <c r="M44" s="64">
        <v>0</v>
      </c>
      <c r="N44" s="64">
        <v>0</v>
      </c>
      <c r="O44" s="73">
        <v>0</v>
      </c>
      <c r="P44" s="73">
        <v>0</v>
      </c>
      <c r="Q44" s="76">
        <v>248.72</v>
      </c>
      <c r="R44" s="76">
        <v>0.45</v>
      </c>
      <c r="S44" s="76">
        <v>47.53</v>
      </c>
      <c r="T44" s="76"/>
      <c r="U44" s="76">
        <v>37.130000000000003</v>
      </c>
      <c r="V44" s="76">
        <v>20.5</v>
      </c>
      <c r="W44" s="73" t="s">
        <v>324</v>
      </c>
      <c r="X44" s="75" t="s">
        <v>324</v>
      </c>
      <c r="Y44" s="75" t="s">
        <v>324</v>
      </c>
      <c r="Z44" s="75" t="s">
        <v>324</v>
      </c>
    </row>
    <row r="45" spans="3:26" ht="13.8">
      <c r="C45" s="64" t="str">
        <f t="shared" si="4"/>
        <v>Landrate 2</v>
      </c>
      <c r="D45" s="64" t="s">
        <v>52</v>
      </c>
      <c r="E45" s="64"/>
      <c r="F45" s="64"/>
      <c r="G45" s="64" t="str">
        <f t="shared" si="5"/>
        <v>Landrate 2_Local Authority</v>
      </c>
      <c r="H45" s="64" t="s">
        <v>388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73">
        <v>0</v>
      </c>
      <c r="P45" s="73">
        <v>0</v>
      </c>
      <c r="Q45" s="76">
        <v>248.72</v>
      </c>
      <c r="R45" s="76">
        <v>0.45</v>
      </c>
      <c r="S45" s="76">
        <v>47.53</v>
      </c>
      <c r="T45" s="76"/>
      <c r="U45" s="76">
        <v>75.23</v>
      </c>
      <c r="V45" s="76">
        <v>20.5</v>
      </c>
      <c r="W45" s="73" t="s">
        <v>324</v>
      </c>
      <c r="X45" s="75" t="s">
        <v>324</v>
      </c>
      <c r="Y45" s="75" t="s">
        <v>324</v>
      </c>
      <c r="Z45" s="75" t="s">
        <v>324</v>
      </c>
    </row>
    <row r="46" spans="3:26" ht="13.8">
      <c r="C46" s="64" t="str">
        <f t="shared" si="4"/>
        <v>Landrate 3</v>
      </c>
      <c r="D46" s="64" t="s">
        <v>52</v>
      </c>
      <c r="E46" s="64"/>
      <c r="F46" s="64"/>
      <c r="G46" s="64" t="str">
        <f t="shared" si="5"/>
        <v>Landrate 3_Local Authority</v>
      </c>
      <c r="H46" s="64" t="s">
        <v>389</v>
      </c>
      <c r="I46" s="64">
        <v>0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73">
        <v>0</v>
      </c>
      <c r="P46" s="73">
        <v>0</v>
      </c>
      <c r="Q46" s="76">
        <v>248.72</v>
      </c>
      <c r="R46" s="76">
        <v>0.45</v>
      </c>
      <c r="S46" s="76">
        <v>47.53</v>
      </c>
      <c r="T46" s="76"/>
      <c r="U46" s="76">
        <v>150.66</v>
      </c>
      <c r="V46" s="76">
        <v>20.5</v>
      </c>
      <c r="W46" s="73" t="s">
        <v>324</v>
      </c>
      <c r="X46" s="75" t="s">
        <v>324</v>
      </c>
      <c r="Y46" s="75" t="s">
        <v>324</v>
      </c>
      <c r="Z46" s="75" t="s">
        <v>324</v>
      </c>
    </row>
    <row r="47" spans="3:26" ht="13.8">
      <c r="C47" s="64" t="str">
        <f t="shared" si="4"/>
        <v>Landrate 4</v>
      </c>
      <c r="D47" s="64" t="s">
        <v>52</v>
      </c>
      <c r="E47" s="64"/>
      <c r="F47" s="64"/>
      <c r="G47" s="64" t="str">
        <f t="shared" si="5"/>
        <v>Landrate 4_Local Authority</v>
      </c>
      <c r="H47" s="64" t="s">
        <v>390</v>
      </c>
      <c r="I47" s="64">
        <v>0</v>
      </c>
      <c r="J47" s="64">
        <v>0</v>
      </c>
      <c r="K47" s="64">
        <v>0</v>
      </c>
      <c r="L47" s="64">
        <v>0</v>
      </c>
      <c r="M47" s="64">
        <v>0</v>
      </c>
      <c r="N47" s="64">
        <v>0</v>
      </c>
      <c r="O47" s="73">
        <v>0</v>
      </c>
      <c r="P47" s="73">
        <v>0</v>
      </c>
      <c r="Q47" s="76">
        <v>378.05</v>
      </c>
      <c r="R47" s="76">
        <v>0.45</v>
      </c>
      <c r="S47" s="76">
        <v>47.53</v>
      </c>
      <c r="T47" s="76"/>
      <c r="U47" s="76">
        <v>0</v>
      </c>
      <c r="V47" s="73">
        <v>0</v>
      </c>
      <c r="W47" s="73" t="s">
        <v>324</v>
      </c>
      <c r="X47" s="75" t="s">
        <v>324</v>
      </c>
      <c r="Y47" s="75" t="s">
        <v>324</v>
      </c>
      <c r="Z47" s="75" t="s">
        <v>324</v>
      </c>
    </row>
    <row r="48" spans="3:26" ht="13.8">
      <c r="C48" s="64" t="str">
        <f t="shared" si="4"/>
        <v>Landrate Dx</v>
      </c>
      <c r="D48" s="64" t="s">
        <v>52</v>
      </c>
      <c r="E48" s="64"/>
      <c r="F48" s="64"/>
      <c r="G48" s="64" t="str">
        <f>C48&amp;"_"&amp;D48</f>
        <v>Landrate Dx_Local Authority</v>
      </c>
      <c r="H48" s="64" t="str">
        <f t="shared" si="0"/>
        <v>Ld01Y</v>
      </c>
      <c r="I48" s="64">
        <v>0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73">
        <v>0</v>
      </c>
      <c r="P48" s="73">
        <v>0</v>
      </c>
      <c r="Q48" s="73">
        <v>0</v>
      </c>
      <c r="R48" s="73">
        <v>0</v>
      </c>
      <c r="S48" s="73">
        <v>0</v>
      </c>
      <c r="T48" s="73"/>
      <c r="U48" s="73">
        <v>0</v>
      </c>
      <c r="V48" s="76">
        <v>34.386858093848041</v>
      </c>
      <c r="W48" s="73" t="s">
        <v>324</v>
      </c>
      <c r="X48" s="75" t="s">
        <v>324</v>
      </c>
      <c r="Y48" s="75" t="s">
        <v>324</v>
      </c>
      <c r="Z48" s="75" t="s">
        <v>324</v>
      </c>
    </row>
    <row r="49" spans="3:26" ht="13.8">
      <c r="C49" s="64" t="s">
        <v>237</v>
      </c>
      <c r="D49" s="64" t="s">
        <v>52</v>
      </c>
      <c r="E49" s="64"/>
      <c r="F49" s="64"/>
      <c r="G49" s="64" t="str">
        <f>C49&amp;"_"&amp;D49</f>
        <v>Public Lighting All Night_Local Authority</v>
      </c>
      <c r="H49" s="64" t="str">
        <f>INDEX(Matrix_Tariff_Map,MATCH(C49,Matrix_Model_Tariffs,0),2)&amp;IFERROR(INDEX(Matrix_Transmission_Map,MATCH(E49,Matrix_Model_Transmission,0),2),0)&amp;IFERROR(INDEX(Matrix_Voltage_Map,MATCH(F49,Matrix_Model_Voltage,0),2),1)&amp;INDEX(Matrix_Category_Map,MATCH(D49,Matrix_Model_Category,0),2)</f>
        <v>Pa01Y</v>
      </c>
      <c r="I49" s="64">
        <v>0</v>
      </c>
      <c r="J49" s="64">
        <v>0</v>
      </c>
      <c r="K49" s="64">
        <v>0</v>
      </c>
      <c r="L49" s="64">
        <v>0</v>
      </c>
      <c r="M49" s="64">
        <v>0</v>
      </c>
      <c r="N49" s="64">
        <v>0</v>
      </c>
      <c r="O49" s="73">
        <v>0</v>
      </c>
      <c r="P49" s="73">
        <v>0</v>
      </c>
      <c r="Q49" s="76">
        <v>280.54000000000002</v>
      </c>
      <c r="R49" s="76">
        <v>0</v>
      </c>
      <c r="S49" s="76">
        <v>0</v>
      </c>
      <c r="T49" s="76"/>
      <c r="U49" s="76">
        <v>0</v>
      </c>
      <c r="V49" s="76">
        <v>0</v>
      </c>
      <c r="W49" s="73" t="s">
        <v>324</v>
      </c>
      <c r="X49" s="75" t="s">
        <v>324</v>
      </c>
      <c r="Y49" s="75" t="s">
        <v>324</v>
      </c>
      <c r="Z49" s="75" t="s">
        <v>324</v>
      </c>
    </row>
    <row r="50" spans="3:26" ht="13.8">
      <c r="C50" s="64" t="s">
        <v>238</v>
      </c>
      <c r="D50" s="64" t="s">
        <v>52</v>
      </c>
      <c r="E50" s="64"/>
      <c r="F50" s="64"/>
      <c r="G50" s="64" t="str">
        <f>C50&amp;"_"&amp;D50</f>
        <v>Public Lighting 24 Hours_Local Authority</v>
      </c>
      <c r="H50" s="64" t="str">
        <f>INDEX(Matrix_Tariff_Map,MATCH(C50,Matrix_Model_Tariffs,0),2)&amp;IFERROR(INDEX(Matrix_Transmission_Map,MATCH(E50,Matrix_Model_Transmission,0),2),0)&amp;IFERROR(INDEX(Matrix_Voltage_Map,MATCH(F50,Matrix_Model_Voltage,0),2),1)&amp;INDEX(Matrix_Category_Map,MATCH(D50,Matrix_Model_Category,0),2)</f>
        <v>Pu01Y</v>
      </c>
      <c r="I50" s="64">
        <v>0</v>
      </c>
      <c r="J50" s="64">
        <v>0</v>
      </c>
      <c r="K50" s="64">
        <v>0</v>
      </c>
      <c r="L50" s="64">
        <v>0</v>
      </c>
      <c r="M50" s="64">
        <v>0</v>
      </c>
      <c r="N50" s="64">
        <v>0</v>
      </c>
      <c r="O50" s="73">
        <v>0</v>
      </c>
      <c r="P50" s="73">
        <v>0</v>
      </c>
      <c r="Q50" s="76">
        <v>248.34</v>
      </c>
      <c r="R50" s="76">
        <v>0</v>
      </c>
      <c r="S50" s="76">
        <v>0</v>
      </c>
      <c r="T50" s="76"/>
      <c r="U50" s="76">
        <v>0</v>
      </c>
      <c r="V50" s="76">
        <v>0</v>
      </c>
      <c r="W50" s="73" t="s">
        <v>324</v>
      </c>
      <c r="X50" s="75" t="s">
        <v>324</v>
      </c>
      <c r="Y50" s="75" t="s">
        <v>324</v>
      </c>
      <c r="Z50" s="75" t="s">
        <v>324</v>
      </c>
    </row>
    <row r="51" spans="3:26" ht="13.8">
      <c r="C51" s="64" t="s">
        <v>239</v>
      </c>
      <c r="D51" s="64" t="s">
        <v>52</v>
      </c>
      <c r="E51" s="64"/>
      <c r="F51" s="64"/>
      <c r="G51" s="64" t="str">
        <f>C51&amp;"_"&amp;D51</f>
        <v>Public Lighting Urban Fixed_Local Authority</v>
      </c>
      <c r="H51" s="64" t="str">
        <f>INDEX(Matrix_Tariff_Map,MATCH(C51,Matrix_Model_Tariffs,0),2)&amp;IFERROR(INDEX(Matrix_Transmission_Map,MATCH(E51,Matrix_Model_Transmission,0),2),0)&amp;IFERROR(INDEX(Matrix_Voltage_Map,MATCH(F51,Matrix_Model_Voltage,0),2),1)&amp;INDEX(Matrix_Category_Map,MATCH(D51,Matrix_Model_Category,0),2)</f>
        <v>Pt01Y</v>
      </c>
      <c r="I51" s="64">
        <v>0</v>
      </c>
      <c r="J51" s="64">
        <v>0</v>
      </c>
      <c r="K51" s="64">
        <v>0</v>
      </c>
      <c r="L51" s="64">
        <v>0</v>
      </c>
      <c r="M51" s="64">
        <v>0</v>
      </c>
      <c r="N51" s="64">
        <v>0</v>
      </c>
      <c r="O51" s="73">
        <v>0</v>
      </c>
      <c r="P51" s="73">
        <v>0</v>
      </c>
      <c r="Q51" s="76">
        <v>0</v>
      </c>
      <c r="R51" s="76">
        <v>0</v>
      </c>
      <c r="S51" s="76">
        <v>0</v>
      </c>
      <c r="T51" s="76"/>
      <c r="U51" s="76">
        <v>0</v>
      </c>
      <c r="V51" s="76">
        <v>34.386858093848041</v>
      </c>
      <c r="W51" s="73" t="s">
        <v>324</v>
      </c>
      <c r="X51" s="75" t="s">
        <v>324</v>
      </c>
      <c r="Y51" s="75" t="s">
        <v>324</v>
      </c>
      <c r="Z51" s="75" t="s">
        <v>324</v>
      </c>
    </row>
  </sheetData>
  <sheetProtection algorithmName="SHA-512" hashValue="+PT3WHPeoo7LPPfKZ1S1H7lpTGtBFdq5iXp03bR1bxi0U8vR4CrbfOhPHilv2IqwVXqFTWnk2ld9e3qB5cuzUQ==" saltValue="r24ouxFUZE2Py9dGLRXgsA==" spinCount="100000" sheet="1" objects="1" scenarios="1"/>
  <phoneticPr fontId="35" type="noConversion"/>
  <conditionalFormatting sqref="C6">
    <cfRule type="expression" dxfId="55" priority="2">
      <formula>C6&lt;&gt;#REF!</formula>
    </cfRule>
  </conditionalFormatting>
  <dataValidations count="2">
    <dataValidation type="list" allowBlank="1" showInputMessage="1" showErrorMessage="1" sqref="D8:D51" xr:uid="{00000000-0002-0000-0600-000000000000}">
      <formula1>Tariff_Category_List</formula1>
    </dataValidation>
    <dataValidation type="list" allowBlank="1" showInputMessage="1" showErrorMessage="1" sqref="C8:C51" xr:uid="{00000000-0002-0000-0600-000001000000}">
      <formula1>Full_Tariff_List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92D050"/>
  </sheetPr>
  <dimension ref="C1:Z51"/>
  <sheetViews>
    <sheetView showGridLines="0" zoomScale="85" zoomScaleNormal="85" workbookViewId="0">
      <pane xSplit="7" ySplit="7" topLeftCell="N8" activePane="bottomRight" state="frozen"/>
      <selection activeCell="H26" sqref="H26"/>
      <selection pane="topRight" activeCell="H26" sqref="H26"/>
      <selection pane="bottomLeft" activeCell="H26" sqref="H26"/>
      <selection pane="bottomRight" activeCell="U10" sqref="U10"/>
    </sheetView>
  </sheetViews>
  <sheetFormatPr defaultColWidth="9.28515625" defaultRowHeight="12"/>
  <cols>
    <col min="1" max="2" width="2.85546875" customWidth="1"/>
    <col min="3" max="3" width="25.140625" customWidth="1"/>
    <col min="4" max="4" width="19.140625" bestFit="1" customWidth="1"/>
    <col min="5" max="6" width="9.7109375" customWidth="1"/>
    <col min="7" max="7" width="46.85546875" bestFit="1" customWidth="1"/>
    <col min="8" max="18" width="12.85546875" customWidth="1"/>
    <col min="19" max="19" width="16.140625" bestFit="1" customWidth="1"/>
    <col min="20" max="20" width="17.85546875" bestFit="1" customWidth="1"/>
    <col min="21" max="26" width="12.85546875" customWidth="1"/>
  </cols>
  <sheetData>
    <row r="1" spans="3:26" ht="3.9" customHeight="1"/>
    <row r="2" spans="3:26" ht="33" customHeight="1"/>
    <row r="3" spans="3:26" ht="3.9" customHeight="1"/>
    <row r="4" spans="3:26" ht="15">
      <c r="C4" s="1" t="str">
        <f>"Small Power User | Tariff Inputs | "&amp;Current_Period</f>
        <v>Small Power User | Tariff Inputs | 2025/26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3:26" ht="13.8">
      <c r="O5" s="77"/>
      <c r="P5" s="77"/>
      <c r="Q5" s="77"/>
      <c r="R5" s="77"/>
      <c r="S5" s="77"/>
      <c r="T5" s="77"/>
      <c r="U5" s="78" t="s">
        <v>235</v>
      </c>
      <c r="V5" s="77"/>
      <c r="W5" s="77"/>
      <c r="X5" s="77"/>
      <c r="Y5" s="77"/>
      <c r="Z5" s="77"/>
    </row>
    <row r="6" spans="3:26" ht="13.8">
      <c r="C6" s="19" t="s">
        <v>119</v>
      </c>
      <c r="D6" s="11"/>
      <c r="E6" s="11"/>
      <c r="F6" s="12"/>
      <c r="G6" s="14"/>
      <c r="H6" s="13"/>
      <c r="I6" s="13" t="s">
        <v>181</v>
      </c>
      <c r="J6" s="13" t="s">
        <v>313</v>
      </c>
      <c r="K6" s="13" t="s">
        <v>314</v>
      </c>
      <c r="L6" s="13" t="s">
        <v>315</v>
      </c>
      <c r="M6" s="13" t="s">
        <v>316</v>
      </c>
      <c r="N6" s="13" t="s">
        <v>317</v>
      </c>
      <c r="O6" s="79" t="s">
        <v>189</v>
      </c>
      <c r="P6" s="80" t="s">
        <v>192</v>
      </c>
      <c r="Q6" s="80" t="s">
        <v>181</v>
      </c>
      <c r="R6" s="80" t="s">
        <v>188</v>
      </c>
      <c r="S6" s="80" t="s">
        <v>187</v>
      </c>
      <c r="T6" s="80" t="s">
        <v>187</v>
      </c>
      <c r="U6" s="80" t="s">
        <v>190</v>
      </c>
      <c r="V6" s="80" t="s">
        <v>191</v>
      </c>
      <c r="W6" s="80"/>
      <c r="X6" s="163" t="s">
        <v>383</v>
      </c>
      <c r="Y6" s="155" t="s">
        <v>375</v>
      </c>
      <c r="Z6" s="155" t="s">
        <v>376</v>
      </c>
    </row>
    <row r="7" spans="3:26" ht="69">
      <c r="C7" s="23" t="s">
        <v>20</v>
      </c>
      <c r="D7" s="24" t="s">
        <v>21</v>
      </c>
      <c r="E7" s="24" t="s">
        <v>77</v>
      </c>
      <c r="F7" s="24" t="s">
        <v>90</v>
      </c>
      <c r="G7" s="24" t="s">
        <v>56</v>
      </c>
      <c r="H7" s="24" t="s">
        <v>168</v>
      </c>
      <c r="I7" s="24" t="s">
        <v>318</v>
      </c>
      <c r="J7" s="24" t="s">
        <v>319</v>
      </c>
      <c r="K7" s="24" t="s">
        <v>320</v>
      </c>
      <c r="L7" s="24" t="s">
        <v>321</v>
      </c>
      <c r="M7" s="24" t="s">
        <v>322</v>
      </c>
      <c r="N7" s="24" t="s">
        <v>323</v>
      </c>
      <c r="O7" s="24" t="s">
        <v>110</v>
      </c>
      <c r="P7" s="24" t="s">
        <v>117</v>
      </c>
      <c r="Q7" s="24" t="s">
        <v>105</v>
      </c>
      <c r="R7" s="24" t="s">
        <v>256</v>
      </c>
      <c r="S7" s="24" t="s">
        <v>99</v>
      </c>
      <c r="T7" s="24" t="s">
        <v>332</v>
      </c>
      <c r="U7" s="24" t="s">
        <v>257</v>
      </c>
      <c r="V7" s="24" t="s">
        <v>100</v>
      </c>
      <c r="W7" s="33" t="s">
        <v>122</v>
      </c>
      <c r="X7" s="24" t="s">
        <v>382</v>
      </c>
      <c r="Y7" s="156" t="s">
        <v>377</v>
      </c>
      <c r="Z7" s="156" t="s">
        <v>378</v>
      </c>
    </row>
    <row r="8" spans="3:26" ht="13.8">
      <c r="C8" s="64" t="s">
        <v>101</v>
      </c>
      <c r="D8" s="64" t="s">
        <v>53</v>
      </c>
      <c r="E8" s="64"/>
      <c r="F8" s="64"/>
      <c r="G8" s="64" t="str">
        <f>C8&amp;"_"&amp;D8</f>
        <v>Businessrate 1_Non-Local Authority</v>
      </c>
      <c r="H8" s="64" t="str">
        <f t="shared" ref="H8:H48" si="0">INDEX(Matrix_Tariff_Map,MATCH(C8,Matrix_Model_Tariffs,0),2)&amp;IFERROR(INDEX(Matrix_Transmission_Map,MATCH(E8,Matrix_Model_Transmission,0),2),0)&amp;IFERROR(INDEX(Matrix_Voltage_Map,MATCH(F8,Matrix_Model_Voltage,0),2),1)&amp;INDEX(Matrix_Category_Map,MATCH(D8,Matrix_Model_Category,0),2)</f>
        <v>B101N</v>
      </c>
      <c r="I8" s="64">
        <v>0</v>
      </c>
      <c r="J8" s="64">
        <v>0</v>
      </c>
      <c r="K8" s="64">
        <v>0</v>
      </c>
      <c r="L8" s="64">
        <v>0</v>
      </c>
      <c r="M8" s="64">
        <v>0</v>
      </c>
      <c r="N8" s="64">
        <v>0</v>
      </c>
      <c r="O8" s="73">
        <v>0</v>
      </c>
      <c r="P8" s="73">
        <v>0</v>
      </c>
      <c r="Q8" s="74">
        <v>224.93</v>
      </c>
      <c r="R8" s="74">
        <v>0.41</v>
      </c>
      <c r="S8" s="74">
        <v>14.54</v>
      </c>
      <c r="T8" s="74"/>
      <c r="U8" s="74">
        <v>20.34</v>
      </c>
      <c r="V8" s="74">
        <v>14.7</v>
      </c>
      <c r="W8" s="73" t="s">
        <v>324</v>
      </c>
      <c r="X8" s="198">
        <v>4.9400000000000004</v>
      </c>
      <c r="Y8" s="74">
        <v>1.98</v>
      </c>
      <c r="Z8" s="74">
        <v>0</v>
      </c>
    </row>
    <row r="9" spans="3:26" ht="13.8">
      <c r="C9" s="64" t="s">
        <v>102</v>
      </c>
      <c r="D9" s="64" t="s">
        <v>53</v>
      </c>
      <c r="E9" s="64"/>
      <c r="F9" s="64"/>
      <c r="G9" s="64" t="str">
        <f>C9&amp;"_"&amp;D9</f>
        <v>Businessrate 2_Non-Local Authority</v>
      </c>
      <c r="H9" s="64" t="str">
        <f t="shared" si="0"/>
        <v>B201N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73">
        <v>0</v>
      </c>
      <c r="P9" s="73">
        <v>0</v>
      </c>
      <c r="Q9" s="74">
        <v>224.93</v>
      </c>
      <c r="R9" s="74">
        <v>0.41</v>
      </c>
      <c r="S9" s="74">
        <v>14.54</v>
      </c>
      <c r="T9" s="74"/>
      <c r="U9" s="74">
        <v>30.21</v>
      </c>
      <c r="V9" s="74">
        <v>14.7</v>
      </c>
      <c r="W9" s="73" t="s">
        <v>324</v>
      </c>
      <c r="X9" s="198">
        <v>4.9400000000000004</v>
      </c>
      <c r="Y9" s="74">
        <v>2.95</v>
      </c>
      <c r="Z9" s="74">
        <v>0</v>
      </c>
    </row>
    <row r="10" spans="3:26" ht="13.8">
      <c r="C10" s="64" t="s">
        <v>103</v>
      </c>
      <c r="D10" s="64" t="s">
        <v>53</v>
      </c>
      <c r="E10" s="64"/>
      <c r="F10" s="64"/>
      <c r="G10" s="64" t="str">
        <f>C10&amp;"_"&amp;D10</f>
        <v>Businessrate 3_Non-Local Authority</v>
      </c>
      <c r="H10" s="64" t="str">
        <f t="shared" si="0"/>
        <v>B301N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73">
        <v>0</v>
      </c>
      <c r="P10" s="73">
        <v>0</v>
      </c>
      <c r="Q10" s="74">
        <v>224.93</v>
      </c>
      <c r="R10" s="74">
        <v>0.41</v>
      </c>
      <c r="S10" s="74">
        <v>14.54</v>
      </c>
      <c r="T10" s="74"/>
      <c r="U10" s="74">
        <v>75.38</v>
      </c>
      <c r="V10" s="74">
        <v>14.7</v>
      </c>
      <c r="W10" s="73" t="s">
        <v>324</v>
      </c>
      <c r="X10" s="198">
        <v>4.9400000000000004</v>
      </c>
      <c r="Y10" s="74">
        <v>7.37</v>
      </c>
      <c r="Z10" s="74">
        <v>0</v>
      </c>
    </row>
    <row r="11" spans="3:26" ht="13.8">
      <c r="C11" s="64" t="s">
        <v>104</v>
      </c>
      <c r="D11" s="64" t="s">
        <v>53</v>
      </c>
      <c r="E11" s="64"/>
      <c r="F11" s="64"/>
      <c r="G11" s="64" t="str">
        <f>C11&amp;"_"&amp;D11</f>
        <v>Businessrate 4_Non-Local Authority</v>
      </c>
      <c r="H11" s="64" t="str">
        <f t="shared" si="0"/>
        <v>B401N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73">
        <v>0</v>
      </c>
      <c r="P11" s="73">
        <v>0</v>
      </c>
      <c r="Q11" s="74">
        <v>350.09</v>
      </c>
      <c r="R11" s="74">
        <v>0.41</v>
      </c>
      <c r="S11" s="74">
        <v>14.54</v>
      </c>
      <c r="T11" s="74"/>
      <c r="U11" s="73">
        <v>0</v>
      </c>
      <c r="V11" s="73">
        <v>0</v>
      </c>
      <c r="W11" s="73" t="s">
        <v>324</v>
      </c>
      <c r="X11" s="198">
        <v>4.9400000000000004</v>
      </c>
      <c r="Y11" s="198">
        <v>0</v>
      </c>
      <c r="Z11" s="73">
        <v>0</v>
      </c>
    </row>
    <row r="12" spans="3:26" ht="13.8">
      <c r="C12" s="64" t="s">
        <v>234</v>
      </c>
      <c r="D12" s="64" t="s">
        <v>53</v>
      </c>
      <c r="E12" s="64"/>
      <c r="F12" s="64"/>
      <c r="G12" s="64" t="str">
        <f>C12&amp;"_"&amp;D12</f>
        <v>Homepower Bulk_Non-Local Authority</v>
      </c>
      <c r="H12" s="64" t="str">
        <f t="shared" si="0"/>
        <v>HB01N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74">
        <v>0</v>
      </c>
      <c r="P12" s="74">
        <v>0</v>
      </c>
      <c r="Q12" s="74">
        <v>268.77999999999997</v>
      </c>
      <c r="R12" s="73">
        <v>0.41</v>
      </c>
      <c r="S12" s="73">
        <v>26.37</v>
      </c>
      <c r="T12" s="73"/>
      <c r="U12" s="74">
        <v>55.32</v>
      </c>
      <c r="V12" s="73">
        <v>3.27</v>
      </c>
      <c r="W12" s="73" t="s">
        <v>324</v>
      </c>
      <c r="X12" s="198" t="s">
        <v>324</v>
      </c>
      <c r="Y12" s="198">
        <v>4.78</v>
      </c>
      <c r="Z12" s="73">
        <v>0</v>
      </c>
    </row>
    <row r="13" spans="3:26" ht="13.8">
      <c r="C13" s="64" t="s">
        <v>106</v>
      </c>
      <c r="D13" s="64" t="s">
        <v>53</v>
      </c>
      <c r="E13" s="64"/>
      <c r="F13" s="64"/>
      <c r="G13" s="64" t="str">
        <f t="shared" ref="G13:G23" si="1">C13&amp;"_"&amp;D13</f>
        <v>Homepower 1_Non-Local Authority</v>
      </c>
      <c r="H13" s="64" t="str">
        <f t="shared" si="0"/>
        <v>H101N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74"/>
      <c r="P13" s="196"/>
      <c r="Q13" s="74">
        <v>268.77999999999997</v>
      </c>
      <c r="R13" s="73">
        <v>0.41</v>
      </c>
      <c r="S13" s="73">
        <v>26.37</v>
      </c>
      <c r="T13" s="73"/>
      <c r="U13" s="74">
        <v>12.13</v>
      </c>
      <c r="V13" s="73">
        <v>3.27</v>
      </c>
      <c r="W13" s="73" t="s">
        <v>324</v>
      </c>
      <c r="X13" s="198">
        <v>0</v>
      </c>
      <c r="Y13" s="198">
        <v>0.72</v>
      </c>
      <c r="Z13" s="73">
        <v>0</v>
      </c>
    </row>
    <row r="14" spans="3:26" ht="13.8">
      <c r="C14" s="64" t="s">
        <v>107</v>
      </c>
      <c r="D14" s="64" t="s">
        <v>53</v>
      </c>
      <c r="E14" s="64"/>
      <c r="F14" s="64"/>
      <c r="G14" s="64" t="str">
        <f t="shared" si="1"/>
        <v>Homepower 2_Non-Local Authority</v>
      </c>
      <c r="H14" s="64" t="str">
        <f t="shared" si="0"/>
        <v>H201N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74"/>
      <c r="P14" s="196"/>
      <c r="Q14" s="74">
        <v>268.77999999999997</v>
      </c>
      <c r="R14" s="73">
        <v>0.41</v>
      </c>
      <c r="S14" s="73">
        <v>26.37</v>
      </c>
      <c r="T14" s="73"/>
      <c r="U14" s="74">
        <v>27.07</v>
      </c>
      <c r="V14" s="73">
        <v>3.27</v>
      </c>
      <c r="W14" s="73" t="s">
        <v>324</v>
      </c>
      <c r="X14" s="198">
        <v>0</v>
      </c>
      <c r="Y14" s="198">
        <v>1.27</v>
      </c>
      <c r="Z14" s="73">
        <v>0</v>
      </c>
    </row>
    <row r="15" spans="3:26" ht="13.8">
      <c r="C15" s="64" t="s">
        <v>108</v>
      </c>
      <c r="D15" s="64" t="s">
        <v>53</v>
      </c>
      <c r="E15" s="64"/>
      <c r="F15" s="64"/>
      <c r="G15" s="64" t="str">
        <f t="shared" si="1"/>
        <v>Homepower 3_Non-Local Authority</v>
      </c>
      <c r="H15" s="64" t="str">
        <f t="shared" si="0"/>
        <v>H301N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74"/>
      <c r="P15" s="196"/>
      <c r="Q15" s="74">
        <v>268.77999999999997</v>
      </c>
      <c r="R15" s="73">
        <v>0.41</v>
      </c>
      <c r="S15" s="73">
        <v>26.37</v>
      </c>
      <c r="T15" s="73"/>
      <c r="U15" s="74">
        <v>57.82</v>
      </c>
      <c r="V15" s="73">
        <v>3.27</v>
      </c>
      <c r="W15" s="73" t="s">
        <v>324</v>
      </c>
      <c r="X15" s="198">
        <v>0</v>
      </c>
      <c r="Y15" s="198">
        <v>3.1</v>
      </c>
      <c r="Z15" s="73">
        <v>0</v>
      </c>
    </row>
    <row r="16" spans="3:26" ht="13.8">
      <c r="C16" s="64" t="s">
        <v>109</v>
      </c>
      <c r="D16" s="64" t="s">
        <v>53</v>
      </c>
      <c r="E16" s="64"/>
      <c r="F16" s="64"/>
      <c r="G16" s="64" t="str">
        <f t="shared" si="1"/>
        <v>Homepower 4_Non-Local Authority</v>
      </c>
      <c r="H16" s="64" t="str">
        <f t="shared" si="0"/>
        <v>H401N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74"/>
      <c r="P16" s="196"/>
      <c r="Q16" s="74">
        <v>268.77999999999997</v>
      </c>
      <c r="R16" s="73">
        <v>0.41</v>
      </c>
      <c r="S16" s="73">
        <v>26.37</v>
      </c>
      <c r="T16" s="73"/>
      <c r="U16" s="74">
        <v>8.35</v>
      </c>
      <c r="V16" s="73">
        <v>3.27</v>
      </c>
      <c r="W16" s="73" t="s">
        <v>324</v>
      </c>
      <c r="X16" s="198">
        <v>0</v>
      </c>
      <c r="Y16" s="198">
        <v>0.47</v>
      </c>
      <c r="Z16" s="73">
        <v>0</v>
      </c>
    </row>
    <row r="17" spans="3:26" ht="13.8">
      <c r="C17" s="64" t="s">
        <v>111</v>
      </c>
      <c r="D17" s="64" t="s">
        <v>53</v>
      </c>
      <c r="E17" s="64"/>
      <c r="F17" s="64"/>
      <c r="G17" s="64" t="str">
        <f t="shared" si="1"/>
        <v>Homelight 20A_Non-Local Authority</v>
      </c>
      <c r="H17" s="64" t="str">
        <f t="shared" si="0"/>
        <v>HL2001N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74"/>
      <c r="P17" s="196"/>
      <c r="Q17" s="74">
        <v>216.11</v>
      </c>
      <c r="R17" s="73">
        <v>0</v>
      </c>
      <c r="S17" s="73">
        <v>0</v>
      </c>
      <c r="T17" s="73"/>
      <c r="U17" s="73">
        <v>0</v>
      </c>
      <c r="V17" s="73">
        <v>0</v>
      </c>
      <c r="W17" s="73" t="s">
        <v>324</v>
      </c>
      <c r="X17" s="198">
        <v>0</v>
      </c>
      <c r="Y17" s="198">
        <v>0</v>
      </c>
      <c r="Z17" s="73">
        <v>0</v>
      </c>
    </row>
    <row r="18" spans="3:26" ht="13.8">
      <c r="C18" s="64" t="s">
        <v>112</v>
      </c>
      <c r="D18" s="64" t="s">
        <v>53</v>
      </c>
      <c r="E18" s="64"/>
      <c r="F18" s="64"/>
      <c r="G18" s="64" t="str">
        <f t="shared" si="1"/>
        <v>Homelight 60A_Non-Local Authority</v>
      </c>
      <c r="H18" s="64" t="str">
        <f t="shared" si="0"/>
        <v>HL6001N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74"/>
      <c r="P18" s="196"/>
      <c r="Q18" s="74">
        <v>274.72000000000003</v>
      </c>
      <c r="R18" s="73">
        <v>0</v>
      </c>
      <c r="S18" s="73">
        <v>0</v>
      </c>
      <c r="T18" s="73"/>
      <c r="U18" s="73">
        <v>0</v>
      </c>
      <c r="V18" s="73">
        <v>0</v>
      </c>
      <c r="W18" s="73" t="s">
        <v>324</v>
      </c>
      <c r="X18" s="198">
        <v>0</v>
      </c>
      <c r="Y18" s="198">
        <v>0</v>
      </c>
      <c r="Z18" s="73">
        <v>0</v>
      </c>
    </row>
    <row r="19" spans="3:26" ht="13.8">
      <c r="C19" s="64" t="s">
        <v>113</v>
      </c>
      <c r="D19" s="64" t="s">
        <v>53</v>
      </c>
      <c r="E19" s="64"/>
      <c r="F19" s="64"/>
      <c r="G19" s="64" t="str">
        <f t="shared" si="1"/>
        <v>Landrate 1_Non-Local Authority</v>
      </c>
      <c r="H19" s="64" t="str">
        <f t="shared" si="0"/>
        <v>L101N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73">
        <v>0</v>
      </c>
      <c r="P19" s="73">
        <v>0</v>
      </c>
      <c r="Q19" s="74">
        <v>224.93</v>
      </c>
      <c r="R19" s="74">
        <v>0.41</v>
      </c>
      <c r="S19" s="74">
        <v>61.66</v>
      </c>
      <c r="T19" s="74"/>
      <c r="U19" s="74">
        <v>62.2</v>
      </c>
      <c r="V19" s="74">
        <v>24.5</v>
      </c>
      <c r="W19" s="73" t="s">
        <v>324</v>
      </c>
      <c r="X19" s="198">
        <v>0</v>
      </c>
      <c r="Y19" s="74">
        <v>2.71</v>
      </c>
      <c r="Z19" s="74">
        <v>0</v>
      </c>
    </row>
    <row r="20" spans="3:26" ht="13.8">
      <c r="C20" s="64" t="s">
        <v>114</v>
      </c>
      <c r="D20" s="64" t="s">
        <v>53</v>
      </c>
      <c r="E20" s="64"/>
      <c r="F20" s="64"/>
      <c r="G20" s="64" t="str">
        <f t="shared" si="1"/>
        <v>Landrate 2_Non-Local Authority</v>
      </c>
      <c r="H20" s="64" t="str">
        <f t="shared" si="0"/>
        <v>L201N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73">
        <v>0</v>
      </c>
      <c r="P20" s="73">
        <v>0</v>
      </c>
      <c r="Q20" s="74">
        <v>224.93</v>
      </c>
      <c r="R20" s="74">
        <v>0.41</v>
      </c>
      <c r="S20" s="74">
        <v>61.66</v>
      </c>
      <c r="T20" s="74"/>
      <c r="U20" s="74">
        <v>96.99</v>
      </c>
      <c r="V20" s="74">
        <v>24.5</v>
      </c>
      <c r="W20" s="73" t="s">
        <v>324</v>
      </c>
      <c r="X20" s="198">
        <v>0</v>
      </c>
      <c r="Y20" s="74">
        <v>5.37</v>
      </c>
      <c r="Z20" s="74">
        <v>0</v>
      </c>
    </row>
    <row r="21" spans="3:26" ht="13.8">
      <c r="C21" s="64" t="s">
        <v>115</v>
      </c>
      <c r="D21" s="64" t="s">
        <v>53</v>
      </c>
      <c r="E21" s="64"/>
      <c r="F21" s="64"/>
      <c r="G21" s="64" t="str">
        <f t="shared" si="1"/>
        <v>Landrate 3_Non-Local Authority</v>
      </c>
      <c r="H21" s="64" t="str">
        <f t="shared" si="0"/>
        <v>L301N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73">
        <v>0</v>
      </c>
      <c r="P21" s="73">
        <v>0</v>
      </c>
      <c r="Q21" s="74">
        <v>224.93</v>
      </c>
      <c r="R21" s="74">
        <v>0.41</v>
      </c>
      <c r="S21" s="74">
        <v>61.66</v>
      </c>
      <c r="T21" s="74"/>
      <c r="U21" s="74">
        <v>155.32</v>
      </c>
      <c r="V21" s="74">
        <v>24.5</v>
      </c>
      <c r="W21" s="73" t="s">
        <v>324</v>
      </c>
      <c r="X21" s="198">
        <v>0</v>
      </c>
      <c r="Y21" s="74">
        <v>10.5</v>
      </c>
      <c r="Z21" s="74">
        <v>0</v>
      </c>
    </row>
    <row r="22" spans="3:26" ht="13.8">
      <c r="C22" s="64" t="s">
        <v>116</v>
      </c>
      <c r="D22" s="64" t="s">
        <v>53</v>
      </c>
      <c r="E22" s="64"/>
      <c r="F22" s="64"/>
      <c r="G22" s="64" t="str">
        <f t="shared" si="1"/>
        <v>Landrate 4_Non-Local Authority</v>
      </c>
      <c r="H22" s="64" t="str">
        <f t="shared" si="0"/>
        <v>L401N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73">
        <v>0</v>
      </c>
      <c r="P22" s="73">
        <v>0</v>
      </c>
      <c r="Q22" s="74">
        <v>369.32</v>
      </c>
      <c r="R22" s="74">
        <v>0.41</v>
      </c>
      <c r="S22" s="74">
        <v>61.66</v>
      </c>
      <c r="T22" s="74"/>
      <c r="U22" s="74">
        <v>45.92</v>
      </c>
      <c r="V22" s="73">
        <v>0</v>
      </c>
      <c r="W22" s="73" t="s">
        <v>324</v>
      </c>
      <c r="X22" s="198">
        <v>0</v>
      </c>
      <c r="Y22" s="73">
        <v>1.78</v>
      </c>
      <c r="Z22" s="73">
        <v>0</v>
      </c>
    </row>
    <row r="23" spans="3:26" ht="13.8">
      <c r="C23" s="64" t="s">
        <v>118</v>
      </c>
      <c r="D23" s="64" t="s">
        <v>53</v>
      </c>
      <c r="E23" s="64"/>
      <c r="F23" s="64"/>
      <c r="G23" s="64" t="str">
        <f t="shared" si="1"/>
        <v>Landrate Dx_Non-Local Authority</v>
      </c>
      <c r="H23" s="64" t="str">
        <f t="shared" si="0"/>
        <v>Ld01N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/>
      <c r="U23" s="73">
        <v>0</v>
      </c>
      <c r="V23" s="74">
        <v>87</v>
      </c>
      <c r="W23" s="73" t="s">
        <v>324</v>
      </c>
      <c r="X23" s="198">
        <v>0</v>
      </c>
      <c r="Y23" s="74">
        <v>0</v>
      </c>
      <c r="Z23" s="74">
        <v>0</v>
      </c>
    </row>
    <row r="24" spans="3:26" ht="13.8">
      <c r="C24" s="64" t="s">
        <v>263</v>
      </c>
      <c r="D24" s="64" t="s">
        <v>53</v>
      </c>
      <c r="E24" s="64"/>
      <c r="F24" s="64"/>
      <c r="G24" s="64" t="str">
        <f t="shared" ref="G24:G37" si="2">C24&amp;"_"&amp;D24</f>
        <v>Landlight 20A_Non-Local Authority</v>
      </c>
      <c r="H24" s="64" t="str">
        <f t="shared" si="0"/>
        <v>Lt2001N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73">
        <v>0</v>
      </c>
      <c r="P24" s="73">
        <v>0</v>
      </c>
      <c r="Q24" s="74">
        <v>603.54</v>
      </c>
      <c r="R24" s="74">
        <v>0</v>
      </c>
      <c r="S24" s="74">
        <v>0</v>
      </c>
      <c r="T24" s="74"/>
      <c r="U24" s="74">
        <v>0</v>
      </c>
      <c r="V24" s="73">
        <v>0</v>
      </c>
      <c r="W24" s="73" t="s">
        <v>324</v>
      </c>
      <c r="X24" s="198">
        <v>0</v>
      </c>
      <c r="Y24" s="73">
        <v>0</v>
      </c>
      <c r="Z24" s="73">
        <v>0</v>
      </c>
    </row>
    <row r="25" spans="3:26" ht="13.8">
      <c r="C25" s="64" t="s">
        <v>264</v>
      </c>
      <c r="D25" s="64" t="s">
        <v>53</v>
      </c>
      <c r="E25" s="64"/>
      <c r="F25" s="64"/>
      <c r="G25" s="64" t="str">
        <f t="shared" si="2"/>
        <v>Landlight 60A_Non-Local Authority</v>
      </c>
      <c r="H25" s="64" t="str">
        <f t="shared" ref="H25:H32" si="3">INDEX(Matrix_Tariff_Map,MATCH(C25,Matrix_Model_Tariffs,0),2)&amp;IFERROR(INDEX(Matrix_Transmission_Map,MATCH(E25,Matrix_Model_Transmission,0),2),0)&amp;IFERROR(INDEX(Matrix_Voltage_Map,MATCH(F25,Matrix_Model_Voltage,0),2),1)&amp;INDEX(Matrix_Category_Map,MATCH(D25,Matrix_Model_Category,0),2)</f>
        <v>Lt6001N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73">
        <v>0</v>
      </c>
      <c r="P25" s="73">
        <v>0</v>
      </c>
      <c r="Q25" s="74">
        <v>836</v>
      </c>
      <c r="R25" s="74">
        <v>0</v>
      </c>
      <c r="S25" s="74">
        <v>0</v>
      </c>
      <c r="T25" s="74"/>
      <c r="U25" s="74">
        <v>0</v>
      </c>
      <c r="V25" s="73">
        <v>0</v>
      </c>
      <c r="W25" s="73" t="s">
        <v>324</v>
      </c>
      <c r="X25" s="198">
        <v>0</v>
      </c>
      <c r="Y25" s="73">
        <v>0</v>
      </c>
      <c r="Z25" s="73">
        <v>0</v>
      </c>
    </row>
    <row r="26" spans="3:26" ht="13.8">
      <c r="C26" s="64" t="s">
        <v>237</v>
      </c>
      <c r="D26" s="64" t="s">
        <v>53</v>
      </c>
      <c r="E26" s="64"/>
      <c r="F26" s="64"/>
      <c r="G26" s="64" t="str">
        <f t="shared" si="2"/>
        <v>Public Lighting All Night_Non-Local Authority</v>
      </c>
      <c r="H26" s="64" t="str">
        <f t="shared" si="3"/>
        <v>Pa01N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73">
        <v>0</v>
      </c>
      <c r="P26" s="73">
        <v>0</v>
      </c>
      <c r="Q26" s="74">
        <v>242.11</v>
      </c>
      <c r="R26" s="74">
        <v>0</v>
      </c>
      <c r="S26" s="74">
        <v>0</v>
      </c>
      <c r="T26" s="74"/>
      <c r="U26" s="74">
        <v>0</v>
      </c>
      <c r="V26" s="74">
        <v>0</v>
      </c>
      <c r="W26" s="73" t="s">
        <v>324</v>
      </c>
      <c r="X26" s="198">
        <v>0</v>
      </c>
      <c r="Y26" s="74">
        <v>0</v>
      </c>
      <c r="Z26" s="74">
        <v>0</v>
      </c>
    </row>
    <row r="27" spans="3:26" ht="13.8">
      <c r="C27" s="64" t="s">
        <v>238</v>
      </c>
      <c r="D27" s="64" t="s">
        <v>53</v>
      </c>
      <c r="E27" s="64"/>
      <c r="F27" s="64"/>
      <c r="G27" s="64" t="str">
        <f t="shared" si="2"/>
        <v>Public Lighting 24 Hours_Non-Local Authority</v>
      </c>
      <c r="H27" s="64" t="str">
        <f t="shared" si="3"/>
        <v>Pu01N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73">
        <v>0</v>
      </c>
      <c r="P27" s="73">
        <v>0</v>
      </c>
      <c r="Q27" s="74">
        <v>232.22</v>
      </c>
      <c r="R27" s="74">
        <v>0</v>
      </c>
      <c r="S27" s="74">
        <v>0</v>
      </c>
      <c r="T27" s="74"/>
      <c r="U27" s="74">
        <v>0</v>
      </c>
      <c r="V27" s="74">
        <v>0</v>
      </c>
      <c r="W27" s="73" t="s">
        <v>324</v>
      </c>
      <c r="X27" s="198">
        <v>0</v>
      </c>
      <c r="Y27" s="74">
        <v>0</v>
      </c>
      <c r="Z27" s="74">
        <v>0</v>
      </c>
    </row>
    <row r="28" spans="3:26" ht="13.8">
      <c r="C28" s="64" t="s">
        <v>239</v>
      </c>
      <c r="D28" s="64" t="s">
        <v>53</v>
      </c>
      <c r="E28" s="64"/>
      <c r="F28" s="64"/>
      <c r="G28" s="64" t="str">
        <f t="shared" si="2"/>
        <v>Public Lighting Urban Fixed_Non-Local Authority</v>
      </c>
      <c r="H28" s="64" t="str">
        <f t="shared" si="3"/>
        <v>Pt01N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73">
        <v>0</v>
      </c>
      <c r="P28" s="73">
        <v>0</v>
      </c>
      <c r="Q28" s="74">
        <v>0</v>
      </c>
      <c r="R28" s="74">
        <v>0</v>
      </c>
      <c r="S28" s="74">
        <v>0</v>
      </c>
      <c r="T28" s="74"/>
      <c r="U28" s="74">
        <v>0</v>
      </c>
      <c r="V28" s="74">
        <v>32.299999999999997</v>
      </c>
      <c r="W28" s="73" t="s">
        <v>324</v>
      </c>
      <c r="X28" s="198">
        <v>0</v>
      </c>
      <c r="Y28" s="74">
        <v>0</v>
      </c>
      <c r="Z28" s="74">
        <v>0</v>
      </c>
    </row>
    <row r="29" spans="3:26" ht="13.8">
      <c r="C29" s="123" t="s">
        <v>298</v>
      </c>
      <c r="D29" s="123" t="s">
        <v>53</v>
      </c>
      <c r="E29" s="123"/>
      <c r="F29" s="123"/>
      <c r="G29" s="64" t="str">
        <f t="shared" si="2"/>
        <v>Homeflex 1_Non-Local Authority</v>
      </c>
      <c r="H29" s="64" t="str">
        <f t="shared" si="3"/>
        <v>HF101N</v>
      </c>
      <c r="I29" s="64">
        <v>706.97</v>
      </c>
      <c r="J29" s="64">
        <v>216.31</v>
      </c>
      <c r="K29" s="64">
        <v>159.26</v>
      </c>
      <c r="L29" s="64">
        <v>329.28</v>
      </c>
      <c r="M29" s="64">
        <v>204.9</v>
      </c>
      <c r="N29" s="64">
        <v>159.26</v>
      </c>
      <c r="O29" s="74">
        <v>0</v>
      </c>
      <c r="P29" s="74">
        <v>0</v>
      </c>
      <c r="Q29" s="74">
        <v>0</v>
      </c>
      <c r="R29" s="74">
        <v>0.41</v>
      </c>
      <c r="S29" s="125">
        <v>26.37</v>
      </c>
      <c r="T29" s="125" t="s">
        <v>324</v>
      </c>
      <c r="U29" s="125">
        <v>12.13</v>
      </c>
      <c r="V29" s="125">
        <v>3.27</v>
      </c>
      <c r="W29" s="125" t="s">
        <v>324</v>
      </c>
      <c r="X29" s="199">
        <v>0</v>
      </c>
      <c r="Y29" s="125">
        <v>0.72</v>
      </c>
      <c r="Z29" s="125">
        <v>22.78</v>
      </c>
    </row>
    <row r="30" spans="3:26" ht="13.8">
      <c r="C30" s="123" t="s">
        <v>299</v>
      </c>
      <c r="D30" s="123" t="s">
        <v>53</v>
      </c>
      <c r="E30" s="123"/>
      <c r="F30" s="123"/>
      <c r="G30" s="64" t="str">
        <f t="shared" si="2"/>
        <v>Homeflex 2_Non-Local Authority</v>
      </c>
      <c r="H30" s="64" t="str">
        <f t="shared" si="3"/>
        <v>HF201N</v>
      </c>
      <c r="I30" s="64">
        <v>706.97</v>
      </c>
      <c r="J30" s="64">
        <v>216.31</v>
      </c>
      <c r="K30" s="64">
        <v>159.26</v>
      </c>
      <c r="L30" s="64">
        <v>329.28</v>
      </c>
      <c r="M30" s="64">
        <v>204.9</v>
      </c>
      <c r="N30" s="64">
        <v>159.26</v>
      </c>
      <c r="O30" s="74">
        <v>0</v>
      </c>
      <c r="P30" s="74">
        <v>0</v>
      </c>
      <c r="Q30" s="74">
        <v>0</v>
      </c>
      <c r="R30" s="74">
        <v>0.41</v>
      </c>
      <c r="S30" s="125">
        <v>26.37</v>
      </c>
      <c r="T30" s="125" t="s">
        <v>324</v>
      </c>
      <c r="U30" s="125">
        <v>27.07</v>
      </c>
      <c r="V30" s="125">
        <v>3.27</v>
      </c>
      <c r="W30" s="125" t="s">
        <v>324</v>
      </c>
      <c r="X30" s="199">
        <v>0</v>
      </c>
      <c r="Y30" s="125">
        <v>1.27</v>
      </c>
      <c r="Z30" s="125">
        <v>22.78</v>
      </c>
    </row>
    <row r="31" spans="3:26" ht="13.8">
      <c r="C31" s="123" t="s">
        <v>300</v>
      </c>
      <c r="D31" s="123" t="s">
        <v>53</v>
      </c>
      <c r="E31" s="123"/>
      <c r="F31" s="123"/>
      <c r="G31" s="64" t="str">
        <f t="shared" si="2"/>
        <v>Homeflex 3_Non-Local Authority</v>
      </c>
      <c r="H31" s="64" t="str">
        <f t="shared" si="3"/>
        <v>HF301N</v>
      </c>
      <c r="I31" s="64">
        <v>706.97</v>
      </c>
      <c r="J31" s="64">
        <v>216.31</v>
      </c>
      <c r="K31" s="64">
        <v>159.26</v>
      </c>
      <c r="L31" s="64">
        <v>329.28</v>
      </c>
      <c r="M31" s="64">
        <v>204.9</v>
      </c>
      <c r="N31" s="64">
        <v>159.26</v>
      </c>
      <c r="O31" s="74">
        <v>0</v>
      </c>
      <c r="P31" s="74">
        <v>0</v>
      </c>
      <c r="Q31" s="74">
        <v>0</v>
      </c>
      <c r="R31" s="74">
        <v>0.41</v>
      </c>
      <c r="S31" s="125">
        <v>26.37</v>
      </c>
      <c r="T31" s="125" t="s">
        <v>324</v>
      </c>
      <c r="U31" s="125">
        <v>57.82</v>
      </c>
      <c r="V31" s="125">
        <v>3.27</v>
      </c>
      <c r="W31" s="125" t="s">
        <v>324</v>
      </c>
      <c r="X31" s="199">
        <v>0</v>
      </c>
      <c r="Y31" s="125">
        <v>3.1</v>
      </c>
      <c r="Z31" s="125">
        <v>22.78</v>
      </c>
    </row>
    <row r="32" spans="3:26" ht="13.8">
      <c r="C32" s="123" t="s">
        <v>301</v>
      </c>
      <c r="D32" s="123" t="s">
        <v>53</v>
      </c>
      <c r="E32" s="123"/>
      <c r="F32" s="123"/>
      <c r="G32" s="64" t="str">
        <f t="shared" si="2"/>
        <v>Homeflex 4_Non-Local Authority</v>
      </c>
      <c r="H32" s="64" t="str">
        <f t="shared" si="3"/>
        <v>HF401N</v>
      </c>
      <c r="I32" s="64">
        <v>706.97</v>
      </c>
      <c r="J32" s="64">
        <v>216.31</v>
      </c>
      <c r="K32" s="64">
        <v>159.26</v>
      </c>
      <c r="L32" s="64">
        <v>329.28</v>
      </c>
      <c r="M32" s="64">
        <v>204.9</v>
      </c>
      <c r="N32" s="64">
        <v>159.26</v>
      </c>
      <c r="O32" s="74">
        <v>0</v>
      </c>
      <c r="P32" s="74">
        <v>0</v>
      </c>
      <c r="Q32" s="74">
        <v>0</v>
      </c>
      <c r="R32" s="74">
        <v>0.41</v>
      </c>
      <c r="S32" s="125">
        <v>26.37</v>
      </c>
      <c r="T32" s="125" t="s">
        <v>324</v>
      </c>
      <c r="U32" s="125">
        <v>8.35</v>
      </c>
      <c r="V32" s="125">
        <v>3.27</v>
      </c>
      <c r="W32" s="125" t="s">
        <v>324</v>
      </c>
      <c r="X32" s="199">
        <v>0</v>
      </c>
      <c r="Y32" s="125">
        <v>0.47</v>
      </c>
      <c r="Z32" s="125">
        <v>22.78</v>
      </c>
    </row>
    <row r="33" spans="3:26" ht="14.4" thickBot="1">
      <c r="C33" s="95" t="s">
        <v>362</v>
      </c>
      <c r="D33" s="95" t="s">
        <v>52</v>
      </c>
      <c r="E33" s="95"/>
      <c r="F33" s="95"/>
      <c r="G33" s="95" t="str">
        <f t="shared" si="2"/>
        <v>Municrate 1_Local Authority</v>
      </c>
      <c r="H33" s="95" t="str">
        <f t="shared" si="0"/>
        <v>Mr101Y</v>
      </c>
      <c r="I33" s="95">
        <v>0</v>
      </c>
      <c r="J33" s="95">
        <v>0</v>
      </c>
      <c r="K33" s="95">
        <v>0</v>
      </c>
      <c r="L33" s="95">
        <v>0</v>
      </c>
      <c r="M33" s="95">
        <v>0</v>
      </c>
      <c r="N33" s="95">
        <v>0</v>
      </c>
      <c r="O33" s="96">
        <v>0</v>
      </c>
      <c r="P33" s="96">
        <v>0</v>
      </c>
      <c r="Q33" s="97">
        <v>229.79</v>
      </c>
      <c r="R33" s="97">
        <v>0.41</v>
      </c>
      <c r="S33" s="97">
        <v>43.6</v>
      </c>
      <c r="T33" s="97"/>
      <c r="U33" s="97">
        <v>34.06</v>
      </c>
      <c r="V33" s="98">
        <v>18.809999999999999</v>
      </c>
      <c r="W33" s="96" t="s">
        <v>324</v>
      </c>
      <c r="X33" s="200">
        <v>0</v>
      </c>
      <c r="Y33" s="98">
        <v>2.17</v>
      </c>
      <c r="Z33" s="98">
        <v>0</v>
      </c>
    </row>
    <row r="34" spans="3:26" ht="14.4" thickTop="1">
      <c r="C34" s="64" t="s">
        <v>364</v>
      </c>
      <c r="D34" s="64" t="s">
        <v>52</v>
      </c>
      <c r="E34" s="64"/>
      <c r="F34" s="64"/>
      <c r="G34" s="64" t="str">
        <f t="shared" si="2"/>
        <v>Municrate 2_Local Authority</v>
      </c>
      <c r="H34" s="64" t="str">
        <f t="shared" si="0"/>
        <v>Mr201Y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93">
        <v>0</v>
      </c>
      <c r="P34" s="93">
        <v>0</v>
      </c>
      <c r="Q34" s="94">
        <v>229.79</v>
      </c>
      <c r="R34" s="94">
        <v>0.41</v>
      </c>
      <c r="S34" s="94">
        <v>43.6</v>
      </c>
      <c r="T34" s="94"/>
      <c r="U34" s="94">
        <v>69.010000000000005</v>
      </c>
      <c r="V34" s="94">
        <v>18.809999999999999</v>
      </c>
      <c r="W34" s="93" t="s">
        <v>324</v>
      </c>
      <c r="X34" s="201">
        <v>0</v>
      </c>
      <c r="Y34" s="94">
        <v>4.01</v>
      </c>
      <c r="Z34" s="94">
        <v>0</v>
      </c>
    </row>
    <row r="35" spans="3:26" ht="13.8">
      <c r="C35" s="64" t="s">
        <v>365</v>
      </c>
      <c r="D35" s="64" t="s">
        <v>52</v>
      </c>
      <c r="E35" s="64"/>
      <c r="F35" s="64"/>
      <c r="G35" s="64" t="str">
        <f t="shared" si="2"/>
        <v>Municrate 3_Local Authority</v>
      </c>
      <c r="H35" s="64" t="str">
        <f t="shared" si="0"/>
        <v>Mr301Y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73">
        <v>0</v>
      </c>
      <c r="P35" s="73">
        <v>0</v>
      </c>
      <c r="Q35" s="76">
        <v>229.79</v>
      </c>
      <c r="R35" s="76">
        <v>0.41</v>
      </c>
      <c r="S35" s="76">
        <v>43.6</v>
      </c>
      <c r="T35" s="76"/>
      <c r="U35" s="76">
        <v>138.21</v>
      </c>
      <c r="V35" s="76">
        <v>18.809999999999999</v>
      </c>
      <c r="W35" s="73" t="s">
        <v>324</v>
      </c>
      <c r="X35" s="198">
        <v>0</v>
      </c>
      <c r="Y35" s="76">
        <v>8.4600000000000009</v>
      </c>
      <c r="Z35" s="76">
        <v>0</v>
      </c>
    </row>
    <row r="36" spans="3:26" ht="13.8">
      <c r="C36" s="64" t="s">
        <v>366</v>
      </c>
      <c r="D36" s="64" t="s">
        <v>52</v>
      </c>
      <c r="E36" s="64"/>
      <c r="F36" s="64"/>
      <c r="G36" s="64" t="str">
        <f t="shared" si="2"/>
        <v>Municrate 4_Local Authority</v>
      </c>
      <c r="H36" s="64" t="str">
        <f t="shared" si="0"/>
        <v>Mr401Y</v>
      </c>
      <c r="I36" s="64">
        <v>0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73">
        <v>0</v>
      </c>
      <c r="P36" s="73">
        <v>0</v>
      </c>
      <c r="Q36" s="76">
        <v>349.28</v>
      </c>
      <c r="R36" s="76">
        <v>0.41</v>
      </c>
      <c r="S36" s="76">
        <v>43.6</v>
      </c>
      <c r="T36" s="76"/>
      <c r="U36" s="73">
        <v>0</v>
      </c>
      <c r="V36" s="73">
        <v>0</v>
      </c>
      <c r="W36" s="73" t="s">
        <v>324</v>
      </c>
      <c r="X36" s="198">
        <v>0</v>
      </c>
      <c r="Y36" s="197">
        <v>0</v>
      </c>
      <c r="Z36" s="73">
        <v>0</v>
      </c>
    </row>
    <row r="37" spans="3:26" ht="13.8">
      <c r="C37" s="64" t="str">
        <f t="shared" ref="C37:C48" si="4">C12</f>
        <v>Homepower Bulk</v>
      </c>
      <c r="D37" s="64" t="s">
        <v>52</v>
      </c>
      <c r="E37" s="64"/>
      <c r="F37" s="64"/>
      <c r="G37" s="64" t="str">
        <f t="shared" si="2"/>
        <v>Homepower Bulk_Local Authority</v>
      </c>
      <c r="H37" s="64" t="str">
        <f t="shared" si="0"/>
        <v>HB01Y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73">
        <v>0</v>
      </c>
      <c r="P37" s="73">
        <v>0</v>
      </c>
      <c r="Q37" s="73">
        <v>229.79</v>
      </c>
      <c r="R37" s="73">
        <v>0.41</v>
      </c>
      <c r="S37" s="73">
        <v>43.6</v>
      </c>
      <c r="T37" s="73"/>
      <c r="U37" s="73">
        <v>138.21</v>
      </c>
      <c r="V37" s="73">
        <v>18.809999999999999</v>
      </c>
      <c r="W37" s="73" t="s">
        <v>324</v>
      </c>
      <c r="X37" s="198">
        <v>0</v>
      </c>
      <c r="Y37" s="197">
        <v>8.4600000000000009</v>
      </c>
      <c r="Z37" s="73">
        <v>0</v>
      </c>
    </row>
    <row r="38" spans="3:26" ht="13.8">
      <c r="C38" s="64" t="str">
        <f t="shared" si="4"/>
        <v>Homepower 1</v>
      </c>
      <c r="D38" s="64" t="s">
        <v>52</v>
      </c>
      <c r="E38" s="64"/>
      <c r="F38" s="64"/>
      <c r="G38" s="64" t="str">
        <f t="shared" ref="G38:G47" si="5">C38&amp;"_"&amp;D38</f>
        <v>Homepower 1_Local Authority</v>
      </c>
      <c r="H38" s="64" t="str">
        <f t="shared" si="0"/>
        <v>H101Y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4">
        <v>0</v>
      </c>
      <c r="O38" s="76">
        <v>0</v>
      </c>
      <c r="P38" s="76">
        <v>0</v>
      </c>
      <c r="Q38" s="73">
        <v>229.79</v>
      </c>
      <c r="R38" s="73">
        <v>0.41</v>
      </c>
      <c r="S38" s="73">
        <v>43.6</v>
      </c>
      <c r="T38" s="73"/>
      <c r="U38" s="76">
        <v>34.06</v>
      </c>
      <c r="V38" s="73">
        <v>18.809999999999999</v>
      </c>
      <c r="W38" s="73" t="s">
        <v>324</v>
      </c>
      <c r="X38" s="198">
        <v>0</v>
      </c>
      <c r="Y38" s="197">
        <v>2.17</v>
      </c>
      <c r="Z38" s="73">
        <v>0</v>
      </c>
    </row>
    <row r="39" spans="3:26" ht="13.8">
      <c r="C39" s="64" t="str">
        <f t="shared" si="4"/>
        <v>Homepower 2</v>
      </c>
      <c r="D39" s="64" t="s">
        <v>52</v>
      </c>
      <c r="E39" s="64"/>
      <c r="F39" s="64"/>
      <c r="G39" s="64" t="str">
        <f t="shared" si="5"/>
        <v>Homepower 2_Local Authority</v>
      </c>
      <c r="H39" s="64" t="str">
        <f t="shared" si="0"/>
        <v>H201Y</v>
      </c>
      <c r="I39" s="64">
        <v>0</v>
      </c>
      <c r="J39" s="64">
        <v>0</v>
      </c>
      <c r="K39" s="64">
        <v>0</v>
      </c>
      <c r="L39" s="64">
        <v>0</v>
      </c>
      <c r="M39" s="64">
        <v>0</v>
      </c>
      <c r="N39" s="64">
        <v>0</v>
      </c>
      <c r="O39" s="76">
        <v>0</v>
      </c>
      <c r="P39" s="76">
        <v>0</v>
      </c>
      <c r="Q39" s="73">
        <v>229.79</v>
      </c>
      <c r="R39" s="73">
        <v>0.41</v>
      </c>
      <c r="S39" s="73">
        <v>43.6</v>
      </c>
      <c r="T39" s="73"/>
      <c r="U39" s="76">
        <v>69.010000000000005</v>
      </c>
      <c r="V39" s="73">
        <v>18.809999999999999</v>
      </c>
      <c r="W39" s="73" t="s">
        <v>324</v>
      </c>
      <c r="X39" s="198">
        <v>0</v>
      </c>
      <c r="Y39" s="197">
        <v>4.01</v>
      </c>
      <c r="Z39" s="73">
        <v>0</v>
      </c>
    </row>
    <row r="40" spans="3:26" ht="13.8">
      <c r="C40" s="64" t="str">
        <f t="shared" si="4"/>
        <v>Homepower 3</v>
      </c>
      <c r="D40" s="64" t="s">
        <v>52</v>
      </c>
      <c r="E40" s="64"/>
      <c r="F40" s="64"/>
      <c r="G40" s="64" t="str">
        <f t="shared" si="5"/>
        <v>Homepower 3_Local Authority</v>
      </c>
      <c r="H40" s="64" t="str">
        <f t="shared" si="0"/>
        <v>H301Y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76">
        <v>0</v>
      </c>
      <c r="P40" s="76">
        <v>0</v>
      </c>
      <c r="Q40" s="73">
        <v>229.79</v>
      </c>
      <c r="R40" s="73">
        <v>0.41</v>
      </c>
      <c r="S40" s="73">
        <v>43.6</v>
      </c>
      <c r="T40" s="73"/>
      <c r="U40" s="76">
        <v>138.21</v>
      </c>
      <c r="V40" s="73">
        <v>18.809999999999999</v>
      </c>
      <c r="W40" s="73" t="s">
        <v>324</v>
      </c>
      <c r="X40" s="198">
        <v>0</v>
      </c>
      <c r="Y40" s="197">
        <v>8.4600000000000009</v>
      </c>
      <c r="Z40" s="73">
        <v>0</v>
      </c>
    </row>
    <row r="41" spans="3:26" ht="13.8">
      <c r="C41" s="64" t="str">
        <f t="shared" si="4"/>
        <v>Homepower 4</v>
      </c>
      <c r="D41" s="64" t="s">
        <v>52</v>
      </c>
      <c r="E41" s="64"/>
      <c r="F41" s="64"/>
      <c r="G41" s="64" t="str">
        <f t="shared" si="5"/>
        <v>Homepower 4_Local Authority</v>
      </c>
      <c r="H41" s="64" t="str">
        <f t="shared" si="0"/>
        <v>H401Y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76">
        <v>0</v>
      </c>
      <c r="P41" s="76">
        <v>0</v>
      </c>
      <c r="Q41" s="73">
        <v>349.28</v>
      </c>
      <c r="R41" s="73">
        <v>0.41</v>
      </c>
      <c r="S41" s="73">
        <v>43.6</v>
      </c>
      <c r="T41" s="73"/>
      <c r="U41" s="76">
        <v>0</v>
      </c>
      <c r="V41" s="73">
        <v>0</v>
      </c>
      <c r="W41" s="73" t="s">
        <v>324</v>
      </c>
      <c r="X41" s="198">
        <v>0</v>
      </c>
      <c r="Y41" s="197">
        <v>0</v>
      </c>
      <c r="Z41" s="73">
        <v>0</v>
      </c>
    </row>
    <row r="42" spans="3:26" ht="13.8">
      <c r="C42" s="64" t="str">
        <f t="shared" si="4"/>
        <v>Homelight 20A</v>
      </c>
      <c r="D42" s="64" t="s">
        <v>52</v>
      </c>
      <c r="E42" s="64"/>
      <c r="F42" s="64"/>
      <c r="G42" s="64" t="str">
        <f t="shared" si="5"/>
        <v>Homelight 20A_Local Authority</v>
      </c>
      <c r="H42" s="64" t="str">
        <f t="shared" si="0"/>
        <v>HL2001Y</v>
      </c>
      <c r="I42" s="64">
        <v>0</v>
      </c>
      <c r="J42" s="64">
        <v>0</v>
      </c>
      <c r="K42" s="64">
        <v>0</v>
      </c>
      <c r="L42" s="64">
        <v>0</v>
      </c>
      <c r="M42" s="64">
        <v>0</v>
      </c>
      <c r="N42" s="64">
        <v>0</v>
      </c>
      <c r="O42" s="73">
        <v>0</v>
      </c>
      <c r="P42" s="73">
        <v>0</v>
      </c>
      <c r="Q42" s="73">
        <v>349.28</v>
      </c>
      <c r="R42" s="73">
        <v>0.41</v>
      </c>
      <c r="S42" s="73">
        <v>43.6</v>
      </c>
      <c r="T42" s="73"/>
      <c r="U42" s="73">
        <v>0</v>
      </c>
      <c r="V42" s="73">
        <v>0</v>
      </c>
      <c r="W42" s="73" t="s">
        <v>324</v>
      </c>
      <c r="X42" s="198">
        <v>0</v>
      </c>
      <c r="Y42" s="197">
        <v>0</v>
      </c>
      <c r="Z42" s="73">
        <v>0</v>
      </c>
    </row>
    <row r="43" spans="3:26" ht="13.8">
      <c r="C43" s="64" t="str">
        <f t="shared" si="4"/>
        <v>Homelight 60A</v>
      </c>
      <c r="D43" s="64" t="s">
        <v>52</v>
      </c>
      <c r="E43" s="64"/>
      <c r="F43" s="64"/>
      <c r="G43" s="64" t="str">
        <f t="shared" si="5"/>
        <v>Homelight 60A_Local Authority</v>
      </c>
      <c r="H43" s="64" t="str">
        <f t="shared" si="0"/>
        <v>HL6001Y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0</v>
      </c>
      <c r="O43" s="73">
        <v>0</v>
      </c>
      <c r="P43" s="73">
        <v>0</v>
      </c>
      <c r="Q43" s="73">
        <v>349.28</v>
      </c>
      <c r="R43" s="73">
        <v>0.41</v>
      </c>
      <c r="S43" s="73">
        <v>43.6</v>
      </c>
      <c r="T43" s="73"/>
      <c r="U43" s="73">
        <v>0</v>
      </c>
      <c r="V43" s="73">
        <v>0</v>
      </c>
      <c r="W43" s="73" t="s">
        <v>324</v>
      </c>
      <c r="X43" s="198">
        <v>0</v>
      </c>
      <c r="Y43" s="73">
        <v>0</v>
      </c>
      <c r="Z43" s="73">
        <v>0</v>
      </c>
    </row>
    <row r="44" spans="3:26" ht="13.8">
      <c r="C44" s="64" t="str">
        <f t="shared" si="4"/>
        <v>Landrate 1</v>
      </c>
      <c r="D44" s="64" t="s">
        <v>52</v>
      </c>
      <c r="E44" s="64"/>
      <c r="F44" s="64"/>
      <c r="G44" s="64" t="str">
        <f t="shared" si="5"/>
        <v>Landrate 1_Local Authority</v>
      </c>
      <c r="H44" s="64" t="str">
        <f t="shared" si="0"/>
        <v>L101Y</v>
      </c>
      <c r="I44" s="64">
        <v>0</v>
      </c>
      <c r="J44" s="64">
        <v>0</v>
      </c>
      <c r="K44" s="64">
        <v>0</v>
      </c>
      <c r="L44" s="64">
        <v>0</v>
      </c>
      <c r="M44" s="64">
        <v>0</v>
      </c>
      <c r="N44" s="64">
        <v>0</v>
      </c>
      <c r="O44" s="73">
        <v>0</v>
      </c>
      <c r="P44" s="73">
        <v>0</v>
      </c>
      <c r="Q44" s="76">
        <v>229.79</v>
      </c>
      <c r="R44" s="76">
        <v>0.41</v>
      </c>
      <c r="S44" s="76">
        <v>43.6</v>
      </c>
      <c r="T44" s="76"/>
      <c r="U44" s="76">
        <v>34.06</v>
      </c>
      <c r="V44" s="76">
        <v>18.809999999999999</v>
      </c>
      <c r="W44" s="73" t="s">
        <v>324</v>
      </c>
      <c r="X44" s="198">
        <v>0</v>
      </c>
      <c r="Y44" s="76">
        <v>2.17</v>
      </c>
      <c r="Z44" s="76">
        <v>0</v>
      </c>
    </row>
    <row r="45" spans="3:26" ht="13.8">
      <c r="C45" s="64" t="str">
        <f t="shared" si="4"/>
        <v>Landrate 2</v>
      </c>
      <c r="D45" s="64" t="s">
        <v>52</v>
      </c>
      <c r="E45" s="64"/>
      <c r="F45" s="64"/>
      <c r="G45" s="64" t="str">
        <f t="shared" si="5"/>
        <v>Landrate 2_Local Authority</v>
      </c>
      <c r="H45" s="64" t="str">
        <f t="shared" si="0"/>
        <v>L201Y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73">
        <v>0</v>
      </c>
      <c r="P45" s="73">
        <v>0</v>
      </c>
      <c r="Q45" s="76">
        <v>229.79</v>
      </c>
      <c r="R45" s="76">
        <v>0.41</v>
      </c>
      <c r="S45" s="76">
        <v>43.6</v>
      </c>
      <c r="T45" s="76"/>
      <c r="U45" s="76">
        <v>69.010000000000005</v>
      </c>
      <c r="V45" s="76">
        <v>18.809999999999999</v>
      </c>
      <c r="W45" s="73" t="s">
        <v>324</v>
      </c>
      <c r="X45" s="198">
        <v>0</v>
      </c>
      <c r="Y45" s="76">
        <v>4.01</v>
      </c>
      <c r="Z45" s="76">
        <v>0</v>
      </c>
    </row>
    <row r="46" spans="3:26" ht="13.8">
      <c r="C46" s="64" t="str">
        <f t="shared" si="4"/>
        <v>Landrate 3</v>
      </c>
      <c r="D46" s="64" t="s">
        <v>52</v>
      </c>
      <c r="E46" s="64"/>
      <c r="F46" s="64"/>
      <c r="G46" s="64" t="str">
        <f t="shared" si="5"/>
        <v>Landrate 3_Local Authority</v>
      </c>
      <c r="H46" s="64" t="str">
        <f t="shared" si="0"/>
        <v>L301Y</v>
      </c>
      <c r="I46" s="64">
        <v>0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73">
        <v>0</v>
      </c>
      <c r="P46" s="73">
        <v>0</v>
      </c>
      <c r="Q46" s="76">
        <v>229.79</v>
      </c>
      <c r="R46" s="76">
        <v>0.41</v>
      </c>
      <c r="S46" s="76">
        <v>43.6</v>
      </c>
      <c r="T46" s="76"/>
      <c r="U46" s="76">
        <v>138.21</v>
      </c>
      <c r="V46" s="76">
        <v>18.809999999999999</v>
      </c>
      <c r="W46" s="73" t="s">
        <v>324</v>
      </c>
      <c r="X46" s="198">
        <v>0</v>
      </c>
      <c r="Y46" s="76">
        <v>8.4600000000000009</v>
      </c>
      <c r="Z46" s="76">
        <v>0</v>
      </c>
    </row>
    <row r="47" spans="3:26" ht="13.8">
      <c r="C47" s="64" t="str">
        <f t="shared" si="4"/>
        <v>Landrate 4</v>
      </c>
      <c r="D47" s="64" t="s">
        <v>52</v>
      </c>
      <c r="E47" s="64"/>
      <c r="F47" s="64"/>
      <c r="G47" s="64" t="str">
        <f t="shared" si="5"/>
        <v>Landrate 4_Local Authority</v>
      </c>
      <c r="H47" s="64" t="str">
        <f t="shared" si="0"/>
        <v>L401Y</v>
      </c>
      <c r="I47" s="64">
        <v>0</v>
      </c>
      <c r="J47" s="64">
        <v>0</v>
      </c>
      <c r="K47" s="64">
        <v>0</v>
      </c>
      <c r="L47" s="64">
        <v>0</v>
      </c>
      <c r="M47" s="64">
        <v>0</v>
      </c>
      <c r="N47" s="64">
        <v>0</v>
      </c>
      <c r="O47" s="73">
        <v>0</v>
      </c>
      <c r="P47" s="73">
        <v>0</v>
      </c>
      <c r="Q47" s="76">
        <v>349.28</v>
      </c>
      <c r="R47" s="76">
        <v>0.41</v>
      </c>
      <c r="S47" s="76">
        <v>43.6</v>
      </c>
      <c r="T47" s="76"/>
      <c r="U47" s="76">
        <v>0</v>
      </c>
      <c r="V47" s="73">
        <v>0</v>
      </c>
      <c r="W47" s="73" t="s">
        <v>324</v>
      </c>
      <c r="X47" s="198">
        <v>0</v>
      </c>
      <c r="Y47" s="73">
        <v>0</v>
      </c>
      <c r="Z47" s="73">
        <v>0</v>
      </c>
    </row>
    <row r="48" spans="3:26" ht="13.8">
      <c r="C48" s="64" t="str">
        <f t="shared" si="4"/>
        <v>Landrate Dx</v>
      </c>
      <c r="D48" s="64" t="s">
        <v>52</v>
      </c>
      <c r="E48" s="64"/>
      <c r="F48" s="64"/>
      <c r="G48" s="64" t="str">
        <f>C48&amp;"_"&amp;D48</f>
        <v>Landrate Dx_Local Authority</v>
      </c>
      <c r="H48" s="64" t="str">
        <f t="shared" si="0"/>
        <v>Ld01Y</v>
      </c>
      <c r="I48" s="64">
        <v>0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73">
        <v>0</v>
      </c>
      <c r="P48" s="73">
        <v>0</v>
      </c>
      <c r="Q48" s="73">
        <v>0</v>
      </c>
      <c r="R48" s="73">
        <v>0</v>
      </c>
      <c r="S48" s="73">
        <v>0</v>
      </c>
      <c r="T48" s="73"/>
      <c r="U48" s="73">
        <v>0</v>
      </c>
      <c r="V48" s="76">
        <v>31.544682225344499</v>
      </c>
      <c r="W48" s="73" t="s">
        <v>324</v>
      </c>
      <c r="X48" s="198">
        <v>0</v>
      </c>
      <c r="Y48" s="76">
        <v>0</v>
      </c>
      <c r="Z48" s="76">
        <v>0</v>
      </c>
    </row>
    <row r="49" spans="3:26" ht="13.8">
      <c r="C49" s="64" t="s">
        <v>237</v>
      </c>
      <c r="D49" s="64" t="s">
        <v>52</v>
      </c>
      <c r="E49" s="64"/>
      <c r="F49" s="64"/>
      <c r="G49" s="64" t="str">
        <f>C49&amp;"_"&amp;D49</f>
        <v>Public Lighting All Night_Local Authority</v>
      </c>
      <c r="H49" s="64" t="str">
        <f>INDEX(Matrix_Tariff_Map,MATCH(C49,Matrix_Model_Tariffs,0),2)&amp;IFERROR(INDEX(Matrix_Transmission_Map,MATCH(E49,Matrix_Model_Transmission,0),2),0)&amp;IFERROR(INDEX(Matrix_Voltage_Map,MATCH(F49,Matrix_Model_Voltage,0),2),1)&amp;INDEX(Matrix_Category_Map,MATCH(D49,Matrix_Model_Category,0),2)</f>
        <v>Pa01Y</v>
      </c>
      <c r="I49" s="64">
        <v>0</v>
      </c>
      <c r="J49" s="64">
        <v>0</v>
      </c>
      <c r="K49" s="64">
        <v>0</v>
      </c>
      <c r="L49" s="64">
        <v>0</v>
      </c>
      <c r="M49" s="64">
        <v>0</v>
      </c>
      <c r="N49" s="64">
        <v>0</v>
      </c>
      <c r="O49" s="73">
        <v>0</v>
      </c>
      <c r="P49" s="73">
        <v>0</v>
      </c>
      <c r="Q49" s="76">
        <v>257.35000000000002</v>
      </c>
      <c r="R49" s="76">
        <v>0</v>
      </c>
      <c r="S49" s="76">
        <v>0</v>
      </c>
      <c r="T49" s="76"/>
      <c r="U49" s="76">
        <v>0</v>
      </c>
      <c r="V49" s="76">
        <v>0</v>
      </c>
      <c r="W49" s="73" t="s">
        <v>324</v>
      </c>
      <c r="X49" s="198">
        <v>0</v>
      </c>
      <c r="Y49" s="76">
        <v>0</v>
      </c>
      <c r="Z49" s="76">
        <v>0</v>
      </c>
    </row>
    <row r="50" spans="3:26" ht="13.8">
      <c r="C50" s="64" t="s">
        <v>238</v>
      </c>
      <c r="D50" s="64" t="s">
        <v>52</v>
      </c>
      <c r="E50" s="64"/>
      <c r="F50" s="64"/>
      <c r="G50" s="64" t="str">
        <f>C50&amp;"_"&amp;D50</f>
        <v>Public Lighting 24 Hours_Local Authority</v>
      </c>
      <c r="H50" s="64" t="str">
        <f>INDEX(Matrix_Tariff_Map,MATCH(C50,Matrix_Model_Tariffs,0),2)&amp;IFERROR(INDEX(Matrix_Transmission_Map,MATCH(E50,Matrix_Model_Transmission,0),2),0)&amp;IFERROR(INDEX(Matrix_Voltage_Map,MATCH(F50,Matrix_Model_Voltage,0),2),1)&amp;INDEX(Matrix_Category_Map,MATCH(D50,Matrix_Model_Category,0),2)</f>
        <v>Pu01Y</v>
      </c>
      <c r="I50" s="64">
        <v>0</v>
      </c>
      <c r="J50" s="64">
        <v>0</v>
      </c>
      <c r="K50" s="64">
        <v>0</v>
      </c>
      <c r="L50" s="64">
        <v>0</v>
      </c>
      <c r="M50" s="64">
        <v>0</v>
      </c>
      <c r="N50" s="64">
        <v>0</v>
      </c>
      <c r="O50" s="73">
        <v>0</v>
      </c>
      <c r="P50" s="73">
        <v>0</v>
      </c>
      <c r="Q50" s="76">
        <v>227.81</v>
      </c>
      <c r="R50" s="76">
        <v>0</v>
      </c>
      <c r="S50" s="76">
        <v>0</v>
      </c>
      <c r="T50" s="76"/>
      <c r="U50" s="76">
        <v>0</v>
      </c>
      <c r="V50" s="76">
        <v>0</v>
      </c>
      <c r="W50" s="73" t="s">
        <v>324</v>
      </c>
      <c r="X50" s="198">
        <v>0</v>
      </c>
      <c r="Y50" s="76">
        <v>0</v>
      </c>
      <c r="Z50" s="76">
        <v>0</v>
      </c>
    </row>
    <row r="51" spans="3:26" ht="13.8">
      <c r="C51" s="64" t="s">
        <v>239</v>
      </c>
      <c r="D51" s="64" t="s">
        <v>52</v>
      </c>
      <c r="E51" s="64"/>
      <c r="F51" s="64"/>
      <c r="G51" s="64" t="str">
        <f>C51&amp;"_"&amp;D51</f>
        <v>Public Lighting Urban Fixed_Local Authority</v>
      </c>
      <c r="H51" s="64" t="str">
        <f>INDEX(Matrix_Tariff_Map,MATCH(C51,Matrix_Model_Tariffs,0),2)&amp;IFERROR(INDEX(Matrix_Transmission_Map,MATCH(E51,Matrix_Model_Transmission,0),2),0)&amp;IFERROR(INDEX(Matrix_Voltage_Map,MATCH(F51,Matrix_Model_Voltage,0),2),1)&amp;INDEX(Matrix_Category_Map,MATCH(D51,Matrix_Model_Category,0),2)</f>
        <v>Pt01Y</v>
      </c>
      <c r="I51" s="64">
        <v>0</v>
      </c>
      <c r="J51" s="64">
        <v>0</v>
      </c>
      <c r="K51" s="64">
        <v>0</v>
      </c>
      <c r="L51" s="64">
        <v>0</v>
      </c>
      <c r="M51" s="64">
        <v>0</v>
      </c>
      <c r="N51" s="64">
        <v>0</v>
      </c>
      <c r="O51" s="73">
        <v>0</v>
      </c>
      <c r="P51" s="73">
        <v>0</v>
      </c>
      <c r="Q51" s="76">
        <v>0</v>
      </c>
      <c r="R51" s="76">
        <v>0</v>
      </c>
      <c r="S51" s="76">
        <v>0</v>
      </c>
      <c r="T51" s="76"/>
      <c r="U51" s="76">
        <v>0</v>
      </c>
      <c r="V51" s="76">
        <v>31.544682225344499</v>
      </c>
      <c r="W51" s="73" t="s">
        <v>324</v>
      </c>
      <c r="X51" s="198">
        <v>0</v>
      </c>
      <c r="Y51" s="76">
        <v>0</v>
      </c>
      <c r="Z51" s="76">
        <v>0</v>
      </c>
    </row>
  </sheetData>
  <sheetProtection algorithmName="SHA-512" hashValue="9M7+eAYvEkrM2FLGkJhen/OJmlBaL0424CEqgEa9kyLlD9d/D895sjV6/omjdh2lkQweeSGkVW8bdZUMP1Bmqw==" saltValue="GElK5/uhZJp8w5k2bydM0A==" spinCount="100000" sheet="1" objects="1" scenarios="1"/>
  <phoneticPr fontId="35" type="noConversion"/>
  <conditionalFormatting sqref="C6">
    <cfRule type="expression" dxfId="27" priority="2">
      <formula>C6&lt;&gt;#REF!</formula>
    </cfRule>
  </conditionalFormatting>
  <dataValidations count="2">
    <dataValidation type="list" allowBlank="1" showInputMessage="1" showErrorMessage="1" sqref="C8:C51" xr:uid="{00000000-0002-0000-0700-000000000000}">
      <formula1>Full_Tariff_List</formula1>
    </dataValidation>
    <dataValidation type="list" allowBlank="1" showInputMessage="1" showErrorMessage="1" sqref="D8:D51" xr:uid="{00000000-0002-0000-0700-000001000000}">
      <formula1>Tariff_Category_List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>
    <tabColor theme="6" tint="0.39997558519241921"/>
  </sheetPr>
  <dimension ref="B1:Q43"/>
  <sheetViews>
    <sheetView showGridLines="0" zoomScale="85" zoomScaleNormal="85" workbookViewId="0">
      <selection activeCell="C25" sqref="C25"/>
    </sheetView>
  </sheetViews>
  <sheetFormatPr defaultColWidth="9.28515625" defaultRowHeight="12"/>
  <cols>
    <col min="1" max="1" width="2.85546875" customWidth="1"/>
    <col min="2" max="2" width="27.85546875" customWidth="1"/>
    <col min="3" max="4" width="24.7109375" customWidth="1"/>
    <col min="6" max="7" width="18" customWidth="1"/>
  </cols>
  <sheetData>
    <row r="1" spans="2:17" ht="3.9" customHeight="1"/>
    <row r="2" spans="2:17" ht="33" customHeight="1"/>
    <row r="3" spans="2:17" ht="3.9" customHeight="1"/>
    <row r="4" spans="2:17" ht="15">
      <c r="B4" s="1" t="s">
        <v>175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7" spans="2:17">
      <c r="B7" s="15" t="s">
        <v>167</v>
      </c>
      <c r="C7" s="15" t="s">
        <v>168</v>
      </c>
      <c r="D7" s="15" t="s">
        <v>372</v>
      </c>
      <c r="F7" s="15" t="s">
        <v>176</v>
      </c>
      <c r="G7" s="15" t="s">
        <v>168</v>
      </c>
    </row>
    <row r="8" spans="2:17" ht="13.8">
      <c r="B8" t="str">
        <f>Lists!B17</f>
        <v>Businessrate 1</v>
      </c>
      <c r="C8" s="64" t="s">
        <v>217</v>
      </c>
      <c r="D8" s="64" t="s">
        <v>362</v>
      </c>
      <c r="F8" t="s">
        <v>154</v>
      </c>
      <c r="G8">
        <v>0</v>
      </c>
    </row>
    <row r="9" spans="2:17" ht="13.8">
      <c r="B9" t="str">
        <f>Lists!B18</f>
        <v>Businessrate 2</v>
      </c>
      <c r="C9" s="64" t="s">
        <v>218</v>
      </c>
      <c r="D9" s="64" t="s">
        <v>364</v>
      </c>
      <c r="F9" t="str">
        <f>Lists!C94</f>
        <v>[0 - 300km]</v>
      </c>
      <c r="G9">
        <v>0</v>
      </c>
    </row>
    <row r="10" spans="2:17" ht="13.8">
      <c r="B10" t="str">
        <f>Lists!B19</f>
        <v>Businessrate 3</v>
      </c>
      <c r="C10" s="64" t="s">
        <v>219</v>
      </c>
      <c r="D10" s="64" t="s">
        <v>365</v>
      </c>
      <c r="F10" t="str">
        <f>Lists!C95</f>
        <v>[301 - 600km]</v>
      </c>
      <c r="G10">
        <v>1</v>
      </c>
    </row>
    <row r="11" spans="2:17" ht="13.8">
      <c r="B11" t="str">
        <f>Lists!B20</f>
        <v>Businessrate 4</v>
      </c>
      <c r="C11" s="64" t="s">
        <v>220</v>
      </c>
      <c r="D11" s="64" t="s">
        <v>366</v>
      </c>
      <c r="F11" t="str">
        <f>Lists!C96</f>
        <v>[601 - 900km]</v>
      </c>
      <c r="G11">
        <v>2</v>
      </c>
    </row>
    <row r="12" spans="2:17" ht="13.8">
      <c r="B12" t="str">
        <f>Lists!B21</f>
        <v>Homelight 20A</v>
      </c>
      <c r="C12" s="64" t="s">
        <v>221</v>
      </c>
      <c r="D12" s="151"/>
      <c r="F12" t="str">
        <f>Lists!C97</f>
        <v>[&gt; 900km]</v>
      </c>
      <c r="G12">
        <v>3</v>
      </c>
    </row>
    <row r="13" spans="2:17" ht="13.8">
      <c r="B13" t="str">
        <f>Lists!B22</f>
        <v>Homelight 60A</v>
      </c>
      <c r="C13" s="64" t="s">
        <v>222</v>
      </c>
      <c r="D13" s="151"/>
    </row>
    <row r="14" spans="2:17" ht="13.8">
      <c r="B14" t="str">
        <f>Lists!B23</f>
        <v>Homepower 1</v>
      </c>
      <c r="C14" s="64" t="s">
        <v>223</v>
      </c>
      <c r="D14" s="64" t="s">
        <v>362</v>
      </c>
    </row>
    <row r="15" spans="2:17" ht="13.8">
      <c r="B15" t="str">
        <f>Lists!B24</f>
        <v>Homepower 2</v>
      </c>
      <c r="C15" s="64" t="s">
        <v>224</v>
      </c>
      <c r="D15" s="64" t="s">
        <v>364</v>
      </c>
      <c r="F15" s="15" t="s">
        <v>177</v>
      </c>
      <c r="G15" s="15" t="s">
        <v>168</v>
      </c>
    </row>
    <row r="16" spans="2:17" ht="13.8">
      <c r="B16" t="str">
        <f>Lists!B25</f>
        <v>Homepower 3</v>
      </c>
      <c r="C16" s="64" t="s">
        <v>225</v>
      </c>
      <c r="D16" s="64" t="s">
        <v>365</v>
      </c>
      <c r="F16" t="str">
        <f>Lists!C77</f>
        <v>&lt; 500V</v>
      </c>
      <c r="G16">
        <v>1</v>
      </c>
    </row>
    <row r="17" spans="2:7" ht="13.8">
      <c r="B17" t="str">
        <f>Lists!B26</f>
        <v>Homepower 4</v>
      </c>
      <c r="C17" s="64" t="s">
        <v>226</v>
      </c>
      <c r="D17" s="64" t="s">
        <v>366</v>
      </c>
      <c r="F17" t="str">
        <f>Lists!C78</f>
        <v>≥ 500V &amp; &lt; 66kV</v>
      </c>
      <c r="G17">
        <v>2</v>
      </c>
    </row>
    <row r="18" spans="2:7" ht="13.8">
      <c r="B18" t="str">
        <f>Lists!B27</f>
        <v>Homepower Bulk</v>
      </c>
      <c r="C18" s="64" t="s">
        <v>227</v>
      </c>
      <c r="D18" s="151"/>
      <c r="F18" t="str">
        <f>Lists!C79</f>
        <v>≥ 66kV &amp; ≤ 132kV</v>
      </c>
      <c r="G18">
        <v>3</v>
      </c>
    </row>
    <row r="19" spans="2:7" ht="13.8">
      <c r="B19" t="str">
        <f>Lists!B28</f>
        <v>Landrate 1</v>
      </c>
      <c r="C19" s="64" t="s">
        <v>228</v>
      </c>
      <c r="D19" s="64" t="s">
        <v>362</v>
      </c>
      <c r="F19" t="str">
        <f>Lists!C80</f>
        <v>&gt; 132kV</v>
      </c>
      <c r="G19">
        <v>4</v>
      </c>
    </row>
    <row r="20" spans="2:7" ht="13.8">
      <c r="B20" t="str">
        <f>Lists!B29</f>
        <v>Landrate 2</v>
      </c>
      <c r="C20" s="64" t="s">
        <v>229</v>
      </c>
      <c r="D20" s="64" t="s">
        <v>364</v>
      </c>
    </row>
    <row r="21" spans="2:7" ht="13.8">
      <c r="B21" t="str">
        <f>Lists!B30</f>
        <v>Landrate 3</v>
      </c>
      <c r="C21" s="64" t="s">
        <v>230</v>
      </c>
      <c r="D21" s="64" t="s">
        <v>365</v>
      </c>
      <c r="F21" s="15" t="s">
        <v>178</v>
      </c>
      <c r="G21" s="15" t="s">
        <v>168</v>
      </c>
    </row>
    <row r="22" spans="2:7" ht="13.8">
      <c r="B22" t="str">
        <f>Lists!B31</f>
        <v>Landrate 4</v>
      </c>
      <c r="C22" s="64" t="s">
        <v>231</v>
      </c>
      <c r="D22" s="64" t="s">
        <v>366</v>
      </c>
      <c r="F22" t="str">
        <f>Lists!L37</f>
        <v>Non-Local Authority</v>
      </c>
      <c r="G22" t="s">
        <v>179</v>
      </c>
    </row>
    <row r="23" spans="2:7" ht="13.8">
      <c r="B23" t="str">
        <f>Lists!B32</f>
        <v>Landrate Dx</v>
      </c>
      <c r="C23" s="65" t="s">
        <v>232</v>
      </c>
      <c r="D23" s="152"/>
      <c r="F23" t="str">
        <f>Lists!L38</f>
        <v>Local Authority</v>
      </c>
      <c r="G23" t="s">
        <v>180</v>
      </c>
    </row>
    <row r="24" spans="2:7" ht="13.8">
      <c r="B24" s="85" t="s">
        <v>263</v>
      </c>
      <c r="C24" s="65" t="s">
        <v>265</v>
      </c>
      <c r="D24" s="152"/>
    </row>
    <row r="25" spans="2:7" ht="13.8">
      <c r="B25" s="85" t="s">
        <v>264</v>
      </c>
      <c r="C25" s="65" t="s">
        <v>266</v>
      </c>
      <c r="D25" s="152"/>
    </row>
    <row r="26" spans="2:7" ht="13.8">
      <c r="B26" t="s">
        <v>237</v>
      </c>
      <c r="C26" s="65" t="s">
        <v>240</v>
      </c>
      <c r="D26" t="s">
        <v>237</v>
      </c>
    </row>
    <row r="27" spans="2:7" ht="13.8">
      <c r="B27" t="s">
        <v>238</v>
      </c>
      <c r="C27" s="65" t="s">
        <v>242</v>
      </c>
      <c r="D27" t="s">
        <v>238</v>
      </c>
    </row>
    <row r="28" spans="2:7" ht="13.8">
      <c r="B28" t="s">
        <v>239</v>
      </c>
      <c r="C28" s="65" t="s">
        <v>241</v>
      </c>
      <c r="D28" t="s">
        <v>239</v>
      </c>
    </row>
    <row r="29" spans="2:7" ht="13.8">
      <c r="B29" t="str">
        <f>Lists!B38</f>
        <v>Megaflex</v>
      </c>
      <c r="C29" s="64" t="s">
        <v>169</v>
      </c>
      <c r="D29" s="64"/>
    </row>
    <row r="30" spans="2:7" ht="13.8">
      <c r="B30" t="str">
        <f>Lists!B39</f>
        <v>Miniflex</v>
      </c>
      <c r="C30" s="64" t="s">
        <v>170</v>
      </c>
      <c r="D30" s="64"/>
    </row>
    <row r="31" spans="2:7" ht="13.8">
      <c r="B31" t="str">
        <f>Lists!B40</f>
        <v>Nightsave Large</v>
      </c>
      <c r="C31" s="64" t="s">
        <v>172</v>
      </c>
      <c r="D31" s="64"/>
    </row>
    <row r="32" spans="2:7" ht="13.8">
      <c r="B32" t="str">
        <f>Lists!B41</f>
        <v>Nightsave Rural</v>
      </c>
      <c r="C32" s="64" t="s">
        <v>174</v>
      </c>
      <c r="D32" s="64"/>
    </row>
    <row r="33" spans="2:4" ht="13.8">
      <c r="B33" t="str">
        <f>Lists!B42</f>
        <v>Nightsave Small</v>
      </c>
      <c r="C33" s="64" t="s">
        <v>173</v>
      </c>
      <c r="D33" s="64"/>
    </row>
    <row r="34" spans="2:4" ht="13.8">
      <c r="B34" t="str">
        <f>Lists!B43</f>
        <v>Ruraflex</v>
      </c>
      <c r="C34" s="64" t="s">
        <v>171</v>
      </c>
      <c r="D34" s="64"/>
    </row>
    <row r="35" spans="2:4" ht="13.8">
      <c r="B35" t="s">
        <v>361</v>
      </c>
      <c r="C35" s="64" t="s">
        <v>367</v>
      </c>
      <c r="D35" s="64"/>
    </row>
    <row r="36" spans="2:4" ht="13.8">
      <c r="B36" t="s">
        <v>362</v>
      </c>
      <c r="C36" s="64" t="s">
        <v>368</v>
      </c>
      <c r="D36" s="64"/>
    </row>
    <row r="37" spans="2:4" ht="13.8">
      <c r="B37" t="s">
        <v>364</v>
      </c>
      <c r="C37" s="64" t="s">
        <v>369</v>
      </c>
      <c r="D37" s="64"/>
    </row>
    <row r="38" spans="2:4" ht="13.8">
      <c r="B38" t="s">
        <v>365</v>
      </c>
      <c r="C38" s="64" t="s">
        <v>370</v>
      </c>
      <c r="D38" s="64"/>
    </row>
    <row r="39" spans="2:4" ht="13.8">
      <c r="B39" t="s">
        <v>366</v>
      </c>
      <c r="C39" s="64" t="s">
        <v>371</v>
      </c>
      <c r="D39" s="64"/>
    </row>
    <row r="40" spans="2:4">
      <c r="B40" t="s">
        <v>298</v>
      </c>
      <c r="C40" t="s">
        <v>302</v>
      </c>
    </row>
    <row r="41" spans="2:4">
      <c r="B41" t="s">
        <v>299</v>
      </c>
      <c r="C41" t="s">
        <v>303</v>
      </c>
    </row>
    <row r="42" spans="2:4">
      <c r="B42" t="s">
        <v>300</v>
      </c>
      <c r="C42" t="s">
        <v>304</v>
      </c>
    </row>
    <row r="43" spans="2:4">
      <c r="B43" t="s">
        <v>301</v>
      </c>
      <c r="C43" t="s">
        <v>305</v>
      </c>
    </row>
  </sheetData>
  <sheetProtection algorithmName="SHA-512" hashValue="nqsgLaMXPQTHMaC/z8xrqAf5HGeMHrKVzoDlHVbqshON3wwa6mWWxm6aIVUEfSX9G78+Trp55eozQ8/XbgpEng==" saltValue="AlfGyBUV+gG3BpUbjVSDqA==" spinCount="100000" sheet="1" objects="1" scenarios="1"/>
  <phoneticPr fontId="35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6">
    <tabColor theme="6" tint="0.39997558519241921"/>
  </sheetPr>
  <dimension ref="B1:AC124"/>
  <sheetViews>
    <sheetView showGridLines="0" showZeros="0" zoomScale="80" zoomScaleNormal="80" workbookViewId="0">
      <pane xSplit="2" ySplit="4" topLeftCell="C5" activePane="bottomRight" state="frozen"/>
      <selection pane="topRight"/>
      <selection pane="bottomLeft"/>
      <selection pane="bottomRight" activeCell="D10" sqref="D10"/>
    </sheetView>
  </sheetViews>
  <sheetFormatPr defaultRowHeight="12"/>
  <cols>
    <col min="1" max="1" width="2.85546875" customWidth="1"/>
    <col min="2" max="2" width="27.42578125" customWidth="1"/>
    <col min="3" max="10" width="21" customWidth="1"/>
    <col min="11" max="11" width="32.85546875" customWidth="1"/>
    <col min="12" max="24" width="21" customWidth="1"/>
    <col min="25" max="25" width="30.28515625" bestFit="1" customWidth="1"/>
    <col min="26" max="27" width="26" bestFit="1" customWidth="1"/>
    <col min="28" max="29" width="18.7109375" bestFit="1" customWidth="1"/>
    <col min="30" max="30" width="9.28515625" customWidth="1"/>
  </cols>
  <sheetData>
    <row r="1" spans="2:16" ht="3.9" customHeight="1"/>
    <row r="2" spans="2:16" ht="33" customHeight="1"/>
    <row r="3" spans="2:16" ht="3.9" customHeight="1"/>
    <row r="4" spans="2:16" ht="15">
      <c r="B4" s="1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s="64" customFormat="1" ht="13.8"/>
    <row r="6" spans="2:16" s="64" customFormat="1" ht="13.8">
      <c r="B6" s="66" t="s">
        <v>68</v>
      </c>
      <c r="C6" s="66" t="s">
        <v>131</v>
      </c>
      <c r="D6" s="66" t="s">
        <v>69</v>
      </c>
      <c r="E6" s="66" t="s">
        <v>70</v>
      </c>
      <c r="K6" s="66" t="s">
        <v>69</v>
      </c>
      <c r="L6" s="66" t="s">
        <v>135</v>
      </c>
      <c r="M6" s="66" t="s">
        <v>81</v>
      </c>
      <c r="O6" s="66" t="s">
        <v>141</v>
      </c>
      <c r="P6" s="66" t="s">
        <v>41</v>
      </c>
    </row>
    <row r="7" spans="2:16" s="64" customFormat="1" ht="13.8">
      <c r="B7" s="64" t="s">
        <v>57</v>
      </c>
      <c r="C7" s="67">
        <v>1</v>
      </c>
      <c r="D7" s="64" t="str">
        <f>INDEX(Tariff_Category_List,Dropdown_Category)</f>
        <v>Non-Local Authority</v>
      </c>
      <c r="E7" s="64">
        <f>MATCH(D7,Tariff_Category_List,0)</f>
        <v>1</v>
      </c>
      <c r="F7" s="64">
        <f>Selected_Tariff_Category_ID</f>
        <v>1</v>
      </c>
      <c r="K7" s="64" t="s">
        <v>15</v>
      </c>
      <c r="L7" s="86">
        <v>46477</v>
      </c>
      <c r="M7" s="68" t="s">
        <v>16</v>
      </c>
      <c r="O7" s="64" t="s">
        <v>142</v>
      </c>
      <c r="P7" s="64">
        <v>1</v>
      </c>
    </row>
    <row r="8" spans="2:16" s="64" customFormat="1" ht="13.8">
      <c r="B8" s="64" t="s">
        <v>144</v>
      </c>
      <c r="C8" s="67">
        <v>1</v>
      </c>
      <c r="D8" s="64" t="str">
        <f>INDEX(Customer_Category_List,Dropdown_Customer)</f>
        <v>Small Power User</v>
      </c>
      <c r="E8" s="64">
        <f>MATCH(D8,Customer_Category_List,0)</f>
        <v>1</v>
      </c>
      <c r="K8" s="64" t="s">
        <v>17</v>
      </c>
      <c r="L8" s="69">
        <f>EOMONTH(ESKOM_Period,3)</f>
        <v>46568</v>
      </c>
      <c r="M8" s="68" t="s">
        <v>16</v>
      </c>
      <c r="O8" s="64" t="s">
        <v>143</v>
      </c>
      <c r="P8" s="64">
        <v>2</v>
      </c>
    </row>
    <row r="9" spans="2:16" s="64" customFormat="1" ht="13.8">
      <c r="B9" s="64" t="s">
        <v>58</v>
      </c>
      <c r="C9" s="67">
        <v>1</v>
      </c>
      <c r="D9" s="64" t="str">
        <f ca="1">INDEX(Capacity_List,Dropdown_Supply)</f>
        <v>5kVA, 16kVA, 20A or 60A</v>
      </c>
      <c r="E9" s="64">
        <f ca="1">MATCH(D9,Capacity_List,0)</f>
        <v>1</v>
      </c>
      <c r="K9" s="64" t="s">
        <v>133</v>
      </c>
      <c r="L9" s="149" t="s">
        <v>399</v>
      </c>
    </row>
    <row r="10" spans="2:16" s="64" customFormat="1" ht="13.8">
      <c r="B10" s="64" t="s">
        <v>61</v>
      </c>
      <c r="C10" s="67">
        <v>1</v>
      </c>
      <c r="D10" s="64" t="str">
        <f ca="1">INDEX(Supply_Tariff_List,MIN(Dropdown_Tariff,Supply_Tariff_List_Count),0)</f>
        <v>Businessrate 1</v>
      </c>
      <c r="E10" s="64">
        <f ca="1">MATCH(D10,Full_Tariff_List,0)</f>
        <v>1</v>
      </c>
      <c r="K10" s="64" t="s">
        <v>134</v>
      </c>
      <c r="L10" s="150" t="s">
        <v>410</v>
      </c>
      <c r="O10" s="66" t="s">
        <v>137</v>
      </c>
      <c r="P10" s="66" t="s">
        <v>67</v>
      </c>
    </row>
    <row r="11" spans="2:16" s="64" customFormat="1" ht="13.8">
      <c r="B11" s="64" t="s">
        <v>155</v>
      </c>
      <c r="C11" s="67"/>
      <c r="D11" s="64" t="str">
        <f ca="1">'Monthly Average Bill'!D15</f>
        <v>Urban</v>
      </c>
      <c r="E11" s="64">
        <f ca="1">IF(Selected_Tariff_Type="Rural",2,1)</f>
        <v>1</v>
      </c>
      <c r="K11" s="64" t="s">
        <v>199</v>
      </c>
      <c r="L11" s="122">
        <v>30.416666666666668</v>
      </c>
      <c r="O11" s="64" t="s">
        <v>147</v>
      </c>
      <c r="P11" s="64">
        <v>1</v>
      </c>
    </row>
    <row r="12" spans="2:16" s="64" customFormat="1" ht="13.8">
      <c r="B12" s="64" t="s">
        <v>60</v>
      </c>
      <c r="C12" s="67">
        <v>1</v>
      </c>
      <c r="D12" s="64" t="str">
        <f ca="1">INDEX(Voltage_List,MIN(Dropdown_Voltage,Voltage_List_Count))</f>
        <v>&lt; 500V</v>
      </c>
      <c r="E12" s="64">
        <f ca="1">MATCH(D12,Voltage_List,0)</f>
        <v>1</v>
      </c>
      <c r="O12" s="64" t="s">
        <v>138</v>
      </c>
      <c r="P12" s="64">
        <v>2</v>
      </c>
    </row>
    <row r="13" spans="2:16" s="64" customFormat="1" ht="13.8">
      <c r="B13" s="64" t="s">
        <v>59</v>
      </c>
      <c r="C13" s="67">
        <v>1</v>
      </c>
      <c r="D13" s="64" t="str">
        <f ca="1">INDEX(Transmission_List,MIN(Dropdown_Zone,Transmission_List_Count))</f>
        <v>Not Applicable</v>
      </c>
      <c r="E13" s="64">
        <f ca="1">MATCH(D13,Transmission_List,0)</f>
        <v>1</v>
      </c>
      <c r="K13" s="64" t="s">
        <v>86</v>
      </c>
      <c r="L13" s="186">
        <v>0.15</v>
      </c>
      <c r="O13" s="64" t="s">
        <v>139</v>
      </c>
      <c r="P13" s="64">
        <v>3</v>
      </c>
    </row>
    <row r="14" spans="2:16" s="64" customFormat="1" ht="13.8">
      <c r="B14" s="64" t="s">
        <v>162</v>
      </c>
      <c r="C14" s="67"/>
      <c r="E14" s="64">
        <f>IF(Selected_Customer_Category_ID=1,0,1)</f>
        <v>0</v>
      </c>
      <c r="O14" s="64" t="s">
        <v>140</v>
      </c>
      <c r="P14" s="64">
        <v>4</v>
      </c>
    </row>
    <row r="15" spans="2:16" s="64" customFormat="1" ht="13.8">
      <c r="O15" s="64" t="s">
        <v>163</v>
      </c>
      <c r="P15" s="64">
        <v>5</v>
      </c>
    </row>
    <row r="16" spans="2:16" s="64" customFormat="1" ht="13.8">
      <c r="B16" s="66" t="s">
        <v>28</v>
      </c>
      <c r="C16" s="66" t="s">
        <v>29</v>
      </c>
      <c r="D16" s="66" t="s">
        <v>30</v>
      </c>
      <c r="E16" s="66" t="s">
        <v>77</v>
      </c>
      <c r="F16" s="66" t="s">
        <v>35</v>
      </c>
      <c r="G16" s="66" t="s">
        <v>34</v>
      </c>
      <c r="H16" s="66" t="s">
        <v>386</v>
      </c>
      <c r="J16" s="66" t="s">
        <v>40</v>
      </c>
      <c r="K16" s="66" t="s">
        <v>77</v>
      </c>
      <c r="L16" s="66" t="s">
        <v>208</v>
      </c>
      <c r="M16" s="66" t="s">
        <v>35</v>
      </c>
    </row>
    <row r="17" spans="2:16" s="64" customFormat="1" ht="13.8">
      <c r="B17" s="64" t="str">
        <f>IF(D17="",C17,C17&amp;" "&amp;D17)</f>
        <v>Businessrate 1</v>
      </c>
      <c r="C17" s="64" t="s">
        <v>31</v>
      </c>
      <c r="D17" s="64">
        <v>1</v>
      </c>
      <c r="E17" s="64" t="str">
        <f t="shared" ref="E17:E32" si="0">INDEX(Base_Tariff_Type,F17)</f>
        <v>Urban</v>
      </c>
      <c r="F17" s="64">
        <f t="shared" ref="F17:F32" si="1">MATCH(C17,Base_Tariff_List,0)</f>
        <v>1</v>
      </c>
      <c r="G17" s="64">
        <v>1</v>
      </c>
      <c r="H17" s="64" t="s">
        <v>362</v>
      </c>
      <c r="J17" s="64" t="s">
        <v>31</v>
      </c>
      <c r="K17" s="64" t="s">
        <v>78</v>
      </c>
      <c r="L17" s="64" t="s">
        <v>206</v>
      </c>
      <c r="M17" s="64">
        <v>1</v>
      </c>
    </row>
    <row r="18" spans="2:16" s="64" customFormat="1" ht="13.8">
      <c r="B18" s="64" t="str">
        <f t="shared" ref="B18:B32" si="2">IF(D18="",C18,C18&amp;" "&amp;D18)</f>
        <v>Businessrate 2</v>
      </c>
      <c r="C18" s="64" t="s">
        <v>31</v>
      </c>
      <c r="D18" s="64">
        <v>2</v>
      </c>
      <c r="E18" s="64" t="str">
        <f t="shared" si="0"/>
        <v>Urban</v>
      </c>
      <c r="F18" s="64">
        <f t="shared" si="1"/>
        <v>1</v>
      </c>
      <c r="G18" s="64">
        <v>2</v>
      </c>
      <c r="H18" s="64" t="s">
        <v>364</v>
      </c>
      <c r="J18" s="64" t="s">
        <v>32</v>
      </c>
      <c r="K18" s="64" t="s">
        <v>78</v>
      </c>
      <c r="L18" s="64" t="s">
        <v>207</v>
      </c>
      <c r="M18" s="64">
        <v>2</v>
      </c>
    </row>
    <row r="19" spans="2:16" s="64" customFormat="1" ht="13.8">
      <c r="B19" s="64" t="str">
        <f t="shared" si="2"/>
        <v>Businessrate 3</v>
      </c>
      <c r="C19" s="64" t="s">
        <v>31</v>
      </c>
      <c r="D19" s="64">
        <v>3</v>
      </c>
      <c r="E19" s="64" t="str">
        <f t="shared" si="0"/>
        <v>Urban</v>
      </c>
      <c r="F19" s="64">
        <f t="shared" si="1"/>
        <v>1</v>
      </c>
      <c r="G19" s="64">
        <v>3</v>
      </c>
      <c r="H19" s="64" t="s">
        <v>365</v>
      </c>
      <c r="J19" s="64" t="s">
        <v>33</v>
      </c>
      <c r="K19" s="64" t="s">
        <v>78</v>
      </c>
      <c r="L19" s="64" t="s">
        <v>207</v>
      </c>
      <c r="M19" s="64">
        <v>3</v>
      </c>
    </row>
    <row r="20" spans="2:16" s="64" customFormat="1" ht="13.8">
      <c r="B20" s="64" t="str">
        <f t="shared" si="2"/>
        <v>Businessrate 4</v>
      </c>
      <c r="C20" s="64" t="s">
        <v>31</v>
      </c>
      <c r="D20" s="64">
        <v>4</v>
      </c>
      <c r="E20" s="64" t="str">
        <f t="shared" si="0"/>
        <v>Urban</v>
      </c>
      <c r="F20" s="64">
        <f t="shared" si="1"/>
        <v>1</v>
      </c>
      <c r="G20" s="64">
        <v>4</v>
      </c>
      <c r="H20" s="64" t="s">
        <v>366</v>
      </c>
      <c r="J20" s="64" t="s">
        <v>36</v>
      </c>
      <c r="K20" s="64" t="s">
        <v>79</v>
      </c>
      <c r="L20" s="64" t="s">
        <v>79</v>
      </c>
      <c r="M20" s="64">
        <v>4</v>
      </c>
      <c r="O20" s="66" t="s">
        <v>136</v>
      </c>
      <c r="P20" s="66" t="s">
        <v>67</v>
      </c>
    </row>
    <row r="21" spans="2:16" s="64" customFormat="1" ht="13.8">
      <c r="B21" s="64" t="str">
        <f t="shared" si="2"/>
        <v>Homelight 20A</v>
      </c>
      <c r="C21" s="64" t="s">
        <v>32</v>
      </c>
      <c r="D21" s="64" t="s">
        <v>37</v>
      </c>
      <c r="E21" s="64" t="str">
        <f t="shared" si="0"/>
        <v>Urban</v>
      </c>
      <c r="F21" s="64">
        <f t="shared" si="1"/>
        <v>2</v>
      </c>
      <c r="G21" s="64">
        <v>5</v>
      </c>
      <c r="J21" s="64" t="s">
        <v>22</v>
      </c>
      <c r="K21" s="64" t="s">
        <v>78</v>
      </c>
      <c r="L21" s="64" t="s">
        <v>206</v>
      </c>
      <c r="M21" s="64">
        <v>5</v>
      </c>
      <c r="O21" s="64" t="s">
        <v>63</v>
      </c>
      <c r="P21" s="64">
        <v>1</v>
      </c>
    </row>
    <row r="22" spans="2:16" s="64" customFormat="1" ht="13.8">
      <c r="B22" s="64" t="str">
        <f t="shared" si="2"/>
        <v>Homelight 60A</v>
      </c>
      <c r="C22" s="64" t="s">
        <v>32</v>
      </c>
      <c r="D22" s="64" t="s">
        <v>38</v>
      </c>
      <c r="E22" s="64" t="str">
        <f t="shared" si="0"/>
        <v>Urban</v>
      </c>
      <c r="F22" s="64">
        <f t="shared" si="1"/>
        <v>2</v>
      </c>
      <c r="G22" s="64">
        <v>6</v>
      </c>
      <c r="J22" s="64" t="s">
        <v>23</v>
      </c>
      <c r="K22" s="64" t="s">
        <v>78</v>
      </c>
      <c r="L22" s="64" t="s">
        <v>206</v>
      </c>
      <c r="M22" s="64">
        <v>6</v>
      </c>
      <c r="O22" s="64" t="s">
        <v>64</v>
      </c>
      <c r="P22" s="64">
        <v>2</v>
      </c>
    </row>
    <row r="23" spans="2:16" s="64" customFormat="1" ht="13.8">
      <c r="B23" s="64" t="str">
        <f t="shared" si="2"/>
        <v>Homepower 1</v>
      </c>
      <c r="C23" s="64" t="s">
        <v>33</v>
      </c>
      <c r="D23" s="64">
        <v>1</v>
      </c>
      <c r="E23" s="64" t="str">
        <f t="shared" si="0"/>
        <v>Urban</v>
      </c>
      <c r="F23" s="64">
        <f t="shared" si="1"/>
        <v>3</v>
      </c>
      <c r="G23" s="64">
        <v>7</v>
      </c>
      <c r="H23" s="64" t="s">
        <v>362</v>
      </c>
      <c r="J23" s="64" t="s">
        <v>24</v>
      </c>
      <c r="K23" s="64" t="s">
        <v>78</v>
      </c>
      <c r="L23" s="64" t="s">
        <v>206</v>
      </c>
      <c r="M23" s="64">
        <v>7</v>
      </c>
      <c r="O23" s="64" t="s">
        <v>65</v>
      </c>
      <c r="P23" s="64">
        <v>3</v>
      </c>
    </row>
    <row r="24" spans="2:16" s="64" customFormat="1" ht="13.8">
      <c r="B24" s="64" t="str">
        <f t="shared" si="2"/>
        <v>Homepower 2</v>
      </c>
      <c r="C24" s="64" t="s">
        <v>33</v>
      </c>
      <c r="D24" s="64">
        <v>2</v>
      </c>
      <c r="E24" s="64" t="str">
        <f t="shared" si="0"/>
        <v>Urban</v>
      </c>
      <c r="F24" s="64">
        <f t="shared" si="1"/>
        <v>3</v>
      </c>
      <c r="G24" s="64">
        <v>8</v>
      </c>
      <c r="H24" s="64" t="s">
        <v>364</v>
      </c>
      <c r="J24" s="64" t="s">
        <v>25</v>
      </c>
      <c r="K24" s="64" t="s">
        <v>79</v>
      </c>
      <c r="L24" s="64" t="s">
        <v>79</v>
      </c>
      <c r="M24" s="64">
        <v>8</v>
      </c>
      <c r="O24" s="64" t="s">
        <v>164</v>
      </c>
      <c r="P24" s="64">
        <v>4</v>
      </c>
    </row>
    <row r="25" spans="2:16" s="64" customFormat="1" ht="13.8">
      <c r="B25" s="64" t="str">
        <f t="shared" si="2"/>
        <v>Homepower 3</v>
      </c>
      <c r="C25" s="64" t="s">
        <v>33</v>
      </c>
      <c r="D25" s="64">
        <v>3</v>
      </c>
      <c r="E25" s="64" t="str">
        <f t="shared" si="0"/>
        <v>Urban</v>
      </c>
      <c r="F25" s="64">
        <f t="shared" si="1"/>
        <v>3</v>
      </c>
      <c r="G25" s="64">
        <v>9</v>
      </c>
      <c r="H25" s="64" t="s">
        <v>365</v>
      </c>
      <c r="J25" s="64" t="s">
        <v>26</v>
      </c>
      <c r="K25" s="64" t="s">
        <v>78</v>
      </c>
      <c r="L25" s="64" t="s">
        <v>206</v>
      </c>
      <c r="M25" s="64">
        <v>9</v>
      </c>
      <c r="O25" s="64" t="s">
        <v>165</v>
      </c>
      <c r="P25" s="64">
        <v>5</v>
      </c>
    </row>
    <row r="26" spans="2:16" s="64" customFormat="1" ht="13.8">
      <c r="B26" s="64" t="str">
        <f t="shared" si="2"/>
        <v>Homepower 4</v>
      </c>
      <c r="C26" s="64" t="s">
        <v>33</v>
      </c>
      <c r="D26" s="64">
        <v>4</v>
      </c>
      <c r="E26" s="64" t="str">
        <f t="shared" si="0"/>
        <v>Urban</v>
      </c>
      <c r="F26" s="64">
        <f t="shared" si="1"/>
        <v>3</v>
      </c>
      <c r="G26" s="64">
        <v>10</v>
      </c>
      <c r="H26" s="64" t="s">
        <v>366</v>
      </c>
      <c r="J26" s="64" t="s">
        <v>27</v>
      </c>
      <c r="K26" s="64" t="s">
        <v>79</v>
      </c>
      <c r="L26" s="64" t="s">
        <v>79</v>
      </c>
      <c r="M26" s="64">
        <v>10</v>
      </c>
      <c r="O26" s="64" t="s">
        <v>66</v>
      </c>
      <c r="P26" s="64">
        <v>6</v>
      </c>
    </row>
    <row r="27" spans="2:16" s="64" customFormat="1" ht="13.8">
      <c r="B27" s="64" t="str">
        <f t="shared" si="2"/>
        <v>Homepower Bulk</v>
      </c>
      <c r="C27" s="64" t="s">
        <v>33</v>
      </c>
      <c r="D27" s="65" t="s">
        <v>233</v>
      </c>
      <c r="E27" s="64" t="str">
        <f t="shared" si="0"/>
        <v>Urban</v>
      </c>
      <c r="F27" s="64">
        <f t="shared" si="1"/>
        <v>3</v>
      </c>
      <c r="G27" s="64">
        <v>11</v>
      </c>
      <c r="J27" s="64" t="s">
        <v>243</v>
      </c>
      <c r="K27" s="64" t="s">
        <v>78</v>
      </c>
      <c r="L27" s="64" t="s">
        <v>206</v>
      </c>
      <c r="M27" s="64">
        <v>11</v>
      </c>
    </row>
    <row r="28" spans="2:16" s="64" customFormat="1" ht="13.8">
      <c r="B28" s="64" t="str">
        <f t="shared" si="2"/>
        <v>Landrate 1</v>
      </c>
      <c r="C28" s="64" t="s">
        <v>36</v>
      </c>
      <c r="D28" s="64">
        <v>1</v>
      </c>
      <c r="E28" s="64" t="str">
        <f t="shared" si="0"/>
        <v>Rural</v>
      </c>
      <c r="F28" s="64">
        <f t="shared" si="1"/>
        <v>4</v>
      </c>
      <c r="G28" s="64">
        <v>12</v>
      </c>
      <c r="H28" s="64" t="s">
        <v>362</v>
      </c>
      <c r="J28" s="64" t="s">
        <v>361</v>
      </c>
      <c r="K28" s="64" t="s">
        <v>78</v>
      </c>
      <c r="L28" s="64" t="s">
        <v>206</v>
      </c>
      <c r="M28" s="64">
        <v>12</v>
      </c>
      <c r="O28" s="66" t="s">
        <v>62</v>
      </c>
      <c r="P28" s="66" t="s">
        <v>67</v>
      </c>
    </row>
    <row r="29" spans="2:16" s="64" customFormat="1" ht="13.8">
      <c r="B29" s="64" t="str">
        <f t="shared" si="2"/>
        <v>Landrate 2</v>
      </c>
      <c r="C29" s="64" t="s">
        <v>36</v>
      </c>
      <c r="D29" s="64">
        <v>2</v>
      </c>
      <c r="E29" s="64" t="str">
        <f t="shared" si="0"/>
        <v>Rural</v>
      </c>
      <c r="F29" s="64">
        <f t="shared" si="1"/>
        <v>4</v>
      </c>
      <c r="G29" s="64">
        <v>13</v>
      </c>
      <c r="H29" s="64" t="s">
        <v>364</v>
      </c>
      <c r="J29" s="64" t="s">
        <v>363</v>
      </c>
      <c r="K29" s="64" t="s">
        <v>78</v>
      </c>
      <c r="L29" s="64" t="s">
        <v>207</v>
      </c>
      <c r="M29" s="64">
        <v>13</v>
      </c>
      <c r="O29" s="64" t="str">
        <f t="shared" ref="O29:O34" si="3">IFERROR(IF(Selected_Customer_Category_ID=1,INDEX(Capacity_SPU_List,P29,0),INDEX(Capacity_LPU_List,P29,0)),"")</f>
        <v>5kVA, 16kVA, 20A or 60A</v>
      </c>
      <c r="P29" s="64">
        <v>1</v>
      </c>
    </row>
    <row r="30" spans="2:16" s="64" customFormat="1" ht="13.8">
      <c r="B30" s="64" t="str">
        <f t="shared" si="2"/>
        <v>Landrate 3</v>
      </c>
      <c r="C30" s="64" t="s">
        <v>36</v>
      </c>
      <c r="D30" s="64">
        <v>3</v>
      </c>
      <c r="E30" s="64" t="str">
        <f t="shared" si="0"/>
        <v>Rural</v>
      </c>
      <c r="F30" s="64">
        <f t="shared" si="1"/>
        <v>4</v>
      </c>
      <c r="G30" s="64">
        <v>14</v>
      </c>
      <c r="H30" s="64" t="s">
        <v>365</v>
      </c>
      <c r="J30" s="64" t="s">
        <v>297</v>
      </c>
      <c r="K30" s="64" t="s">
        <v>78</v>
      </c>
      <c r="L30" s="64" t="s">
        <v>207</v>
      </c>
      <c r="M30" s="64">
        <v>14</v>
      </c>
      <c r="O30" s="64" t="str">
        <f t="shared" si="3"/>
        <v>25kVA</v>
      </c>
      <c r="P30" s="64">
        <v>2</v>
      </c>
    </row>
    <row r="31" spans="2:16" s="64" customFormat="1" ht="13.8">
      <c r="B31" s="64" t="str">
        <f t="shared" si="2"/>
        <v>Landrate 4</v>
      </c>
      <c r="C31" s="64" t="s">
        <v>36</v>
      </c>
      <c r="D31" s="64">
        <v>4</v>
      </c>
      <c r="E31" s="64" t="str">
        <f t="shared" si="0"/>
        <v>Rural</v>
      </c>
      <c r="F31" s="64">
        <f t="shared" si="1"/>
        <v>4</v>
      </c>
      <c r="G31" s="64">
        <v>15</v>
      </c>
      <c r="H31" s="64" t="s">
        <v>366</v>
      </c>
      <c r="O31" s="64" t="str">
        <f t="shared" si="3"/>
        <v>32kVA</v>
      </c>
      <c r="P31" s="64">
        <v>3</v>
      </c>
    </row>
    <row r="32" spans="2:16" s="64" customFormat="1" ht="13.8">
      <c r="B32" s="64" t="str">
        <f t="shared" si="2"/>
        <v>Landrate Dx</v>
      </c>
      <c r="C32" s="64" t="s">
        <v>36</v>
      </c>
      <c r="D32" s="64" t="s">
        <v>39</v>
      </c>
      <c r="E32" s="64" t="str">
        <f t="shared" si="0"/>
        <v>Rural</v>
      </c>
      <c r="F32" s="64">
        <f t="shared" si="1"/>
        <v>4</v>
      </c>
      <c r="G32" s="64">
        <v>16</v>
      </c>
      <c r="O32" s="64" t="str">
        <f t="shared" si="3"/>
        <v>50kVA</v>
      </c>
      <c r="P32" s="64">
        <v>4</v>
      </c>
    </row>
    <row r="33" spans="2:16" s="64" customFormat="1" ht="13.8">
      <c r="B33" s="64" t="s">
        <v>263</v>
      </c>
      <c r="C33" s="64" t="s">
        <v>36</v>
      </c>
      <c r="D33" s="64" t="s">
        <v>39</v>
      </c>
      <c r="E33" s="64" t="str">
        <f>INDEX(Base_Tariff_Type,F33)</f>
        <v>Rural</v>
      </c>
      <c r="F33" s="64">
        <f>MATCH(C33,Base_Tariff_List,0)</f>
        <v>4</v>
      </c>
      <c r="G33" s="64">
        <v>17</v>
      </c>
      <c r="O33" s="64" t="str">
        <f t="shared" si="3"/>
        <v>&gt;50kVA</v>
      </c>
      <c r="P33" s="64">
        <v>5</v>
      </c>
    </row>
    <row r="34" spans="2:16" s="64" customFormat="1" ht="13.8">
      <c r="B34" s="64" t="s">
        <v>264</v>
      </c>
      <c r="C34" s="64" t="s">
        <v>36</v>
      </c>
      <c r="D34" s="64" t="s">
        <v>39</v>
      </c>
      <c r="E34" s="64" t="str">
        <f>INDEX(Base_Tariff_Type,F34)</f>
        <v>Rural</v>
      </c>
      <c r="F34" s="64">
        <f>MATCH(C34,Base_Tariff_List,0)</f>
        <v>4</v>
      </c>
      <c r="G34" s="64">
        <v>18</v>
      </c>
      <c r="O34" s="64" t="str">
        <f t="shared" si="3"/>
        <v/>
      </c>
      <c r="P34" s="64">
        <v>6</v>
      </c>
    </row>
    <row r="35" spans="2:16" s="64" customFormat="1" ht="13.8">
      <c r="B35" s="65" t="s">
        <v>237</v>
      </c>
      <c r="C35" s="64" t="s">
        <v>243</v>
      </c>
      <c r="D35" s="64" t="s">
        <v>244</v>
      </c>
      <c r="E35" s="64" t="str">
        <f>INDEX(Base_Tariff_Type,F35)</f>
        <v>Urban</v>
      </c>
      <c r="F35" s="64">
        <v>11</v>
      </c>
      <c r="G35" s="64">
        <v>19</v>
      </c>
      <c r="H35" s="64" t="s">
        <v>237</v>
      </c>
    </row>
    <row r="36" spans="2:16" s="64" customFormat="1" ht="13.8">
      <c r="B36" s="64" t="s">
        <v>238</v>
      </c>
      <c r="C36" s="64" t="s">
        <v>243</v>
      </c>
      <c r="D36" s="64" t="s">
        <v>245</v>
      </c>
      <c r="E36" s="64" t="str">
        <f>INDEX(Base_Tariff_Type,F36)</f>
        <v>Urban</v>
      </c>
      <c r="F36" s="64">
        <v>11</v>
      </c>
      <c r="G36" s="64">
        <v>20</v>
      </c>
      <c r="H36" s="64" t="s">
        <v>238</v>
      </c>
      <c r="L36" s="66" t="s">
        <v>21</v>
      </c>
      <c r="M36" s="66" t="s">
        <v>41</v>
      </c>
      <c r="O36" s="64" t="s">
        <v>148</v>
      </c>
      <c r="P36" s="64">
        <f>IF(Selected_Customer_Category_ID=1,COUNTA(Capacity_SPU_List),COUNTA(Capacity_LPU_List))</f>
        <v>5</v>
      </c>
    </row>
    <row r="37" spans="2:16" s="64" customFormat="1" ht="13.8">
      <c r="B37" s="64" t="s">
        <v>239</v>
      </c>
      <c r="C37" s="64" t="s">
        <v>243</v>
      </c>
      <c r="D37" s="64" t="s">
        <v>246</v>
      </c>
      <c r="E37" s="64" t="str">
        <f>INDEX(Base_Tariff_Type,F37)</f>
        <v>Urban</v>
      </c>
      <c r="F37" s="64">
        <v>11</v>
      </c>
      <c r="G37" s="64">
        <v>21</v>
      </c>
      <c r="H37" s="64" t="s">
        <v>239</v>
      </c>
      <c r="L37" s="64" t="s">
        <v>53</v>
      </c>
      <c r="M37" s="64">
        <v>1</v>
      </c>
    </row>
    <row r="38" spans="2:16" s="64" customFormat="1" ht="13.8">
      <c r="B38" s="64" t="str">
        <f t="shared" ref="B38:B43" si="4">IF(D38="",C38,C38&amp;" "&amp;D38)</f>
        <v>Megaflex</v>
      </c>
      <c r="C38" s="64" t="s">
        <v>22</v>
      </c>
      <c r="E38" s="64" t="str">
        <f t="shared" ref="E38:E43" si="5">INDEX(Base_Tariff_Type,F38)</f>
        <v>Urban</v>
      </c>
      <c r="F38" s="64">
        <f t="shared" ref="F38:F43" si="6">MATCH(C38,Base_Tariff_List,0)</f>
        <v>5</v>
      </c>
      <c r="G38" s="64">
        <v>22</v>
      </c>
      <c r="L38" s="64" t="s">
        <v>52</v>
      </c>
      <c r="M38" s="64">
        <v>2</v>
      </c>
    </row>
    <row r="39" spans="2:16" s="64" customFormat="1" ht="13.8">
      <c r="B39" s="64" t="str">
        <f t="shared" si="4"/>
        <v>Miniflex</v>
      </c>
      <c r="C39" s="64" t="s">
        <v>23</v>
      </c>
      <c r="E39" s="64" t="str">
        <f t="shared" si="5"/>
        <v>Urban</v>
      </c>
      <c r="F39" s="64">
        <f t="shared" si="6"/>
        <v>6</v>
      </c>
      <c r="G39" s="64">
        <v>23</v>
      </c>
    </row>
    <row r="40" spans="2:16" s="64" customFormat="1" ht="13.8">
      <c r="B40" s="64" t="str">
        <f t="shared" si="4"/>
        <v>Nightsave Large</v>
      </c>
      <c r="C40" s="64" t="s">
        <v>24</v>
      </c>
      <c r="E40" s="64" t="str">
        <f t="shared" si="5"/>
        <v>Urban</v>
      </c>
      <c r="F40" s="64">
        <f t="shared" si="6"/>
        <v>7</v>
      </c>
      <c r="G40" s="64">
        <v>24</v>
      </c>
    </row>
    <row r="41" spans="2:16" s="64" customFormat="1" ht="13.8">
      <c r="B41" s="64" t="str">
        <f t="shared" si="4"/>
        <v>Nightsave Rural</v>
      </c>
      <c r="C41" s="64" t="s">
        <v>25</v>
      </c>
      <c r="E41" s="64" t="str">
        <f t="shared" si="5"/>
        <v>Rural</v>
      </c>
      <c r="F41" s="64">
        <f t="shared" si="6"/>
        <v>8</v>
      </c>
      <c r="G41" s="64">
        <v>25</v>
      </c>
      <c r="L41" s="66" t="s">
        <v>28</v>
      </c>
      <c r="M41" s="66" t="s">
        <v>276</v>
      </c>
    </row>
    <row r="42" spans="2:16" s="64" customFormat="1" ht="13.8">
      <c r="B42" s="64" t="str">
        <f t="shared" si="4"/>
        <v>Nightsave Small</v>
      </c>
      <c r="C42" s="64" t="s">
        <v>26</v>
      </c>
      <c r="E42" s="64" t="str">
        <f t="shared" si="5"/>
        <v>Urban</v>
      </c>
      <c r="F42" s="64">
        <f t="shared" si="6"/>
        <v>9</v>
      </c>
      <c r="G42" s="64">
        <v>26</v>
      </c>
      <c r="L42" s="64" t="s">
        <v>111</v>
      </c>
      <c r="M42" s="64">
        <v>350</v>
      </c>
    </row>
    <row r="43" spans="2:16" s="64" customFormat="1" ht="13.8">
      <c r="B43" s="64" t="str">
        <f t="shared" si="4"/>
        <v>Ruraflex</v>
      </c>
      <c r="C43" s="64" t="s">
        <v>27</v>
      </c>
      <c r="E43" s="64" t="str">
        <f t="shared" si="5"/>
        <v>Rural</v>
      </c>
      <c r="F43" s="64">
        <f t="shared" si="6"/>
        <v>10</v>
      </c>
      <c r="G43" s="64">
        <v>27</v>
      </c>
      <c r="L43" s="64" t="s">
        <v>112</v>
      </c>
      <c r="M43" s="64">
        <v>600</v>
      </c>
    </row>
    <row r="44" spans="2:16" s="64" customFormat="1" ht="13.8">
      <c r="B44" s="64" t="s">
        <v>361</v>
      </c>
      <c r="C44" s="64" t="s">
        <v>361</v>
      </c>
      <c r="E44" s="64" t="s">
        <v>78</v>
      </c>
      <c r="F44" s="64">
        <v>12</v>
      </c>
      <c r="G44" s="64">
        <v>28</v>
      </c>
      <c r="L44" s="64" t="s">
        <v>33</v>
      </c>
      <c r="M44" s="64">
        <v>600</v>
      </c>
    </row>
    <row r="45" spans="2:16" s="64" customFormat="1" ht="13.8">
      <c r="B45" s="64" t="s">
        <v>362</v>
      </c>
      <c r="C45" s="64" t="s">
        <v>363</v>
      </c>
      <c r="D45" s="64">
        <v>1</v>
      </c>
      <c r="E45" s="64" t="s">
        <v>78</v>
      </c>
      <c r="F45" s="64">
        <v>13</v>
      </c>
      <c r="G45" s="64">
        <v>29</v>
      </c>
    </row>
    <row r="46" spans="2:16" s="64" customFormat="1" ht="13.8">
      <c r="B46" s="64" t="s">
        <v>364</v>
      </c>
      <c r="C46" s="64" t="s">
        <v>363</v>
      </c>
      <c r="D46" s="64">
        <v>2</v>
      </c>
      <c r="E46" s="64" t="s">
        <v>78</v>
      </c>
      <c r="F46" s="64">
        <v>13</v>
      </c>
      <c r="G46" s="64">
        <v>30</v>
      </c>
    </row>
    <row r="47" spans="2:16" s="64" customFormat="1" ht="13.8">
      <c r="B47" s="64" t="s">
        <v>365</v>
      </c>
      <c r="C47" s="64" t="s">
        <v>363</v>
      </c>
      <c r="D47" s="64">
        <v>3</v>
      </c>
      <c r="E47" s="64" t="s">
        <v>78</v>
      </c>
      <c r="F47" s="64">
        <v>13</v>
      </c>
      <c r="G47" s="64">
        <v>31</v>
      </c>
    </row>
    <row r="48" spans="2:16" s="64" customFormat="1" ht="13.8">
      <c r="B48" s="64" t="s">
        <v>366</v>
      </c>
      <c r="C48" s="64" t="s">
        <v>363</v>
      </c>
      <c r="D48" s="64">
        <v>4</v>
      </c>
      <c r="E48" s="64" t="s">
        <v>78</v>
      </c>
      <c r="F48" s="64">
        <v>13</v>
      </c>
      <c r="G48" s="64">
        <v>32</v>
      </c>
    </row>
    <row r="49" spans="2:29" s="64" customFormat="1" ht="13.8">
      <c r="B49" s="64" t="s">
        <v>298</v>
      </c>
      <c r="C49" s="64" t="s">
        <v>297</v>
      </c>
      <c r="D49" s="64">
        <v>1</v>
      </c>
      <c r="E49" s="64" t="s">
        <v>78</v>
      </c>
      <c r="F49" s="64">
        <v>14</v>
      </c>
      <c r="G49" s="64">
        <v>33</v>
      </c>
    </row>
    <row r="50" spans="2:29" s="64" customFormat="1" ht="13.8">
      <c r="B50" s="64" t="s">
        <v>299</v>
      </c>
      <c r="C50" s="64" t="s">
        <v>297</v>
      </c>
      <c r="D50" s="64">
        <v>2</v>
      </c>
      <c r="E50" s="64" t="s">
        <v>78</v>
      </c>
      <c r="F50" s="64">
        <v>14</v>
      </c>
      <c r="G50" s="64">
        <v>34</v>
      </c>
    </row>
    <row r="51" spans="2:29" s="64" customFormat="1" ht="13.8">
      <c r="B51" s="64" t="s">
        <v>300</v>
      </c>
      <c r="C51" s="64" t="s">
        <v>297</v>
      </c>
      <c r="D51" s="64">
        <v>3</v>
      </c>
      <c r="E51" s="64" t="s">
        <v>78</v>
      </c>
      <c r="F51" s="64">
        <v>14</v>
      </c>
      <c r="G51" s="64">
        <v>35</v>
      </c>
    </row>
    <row r="52" spans="2:29" s="64" customFormat="1" ht="13.8">
      <c r="B52" s="64" t="s">
        <v>301</v>
      </c>
      <c r="C52" s="64" t="s">
        <v>297</v>
      </c>
      <c r="D52" s="64">
        <v>4</v>
      </c>
      <c r="E52" s="64" t="s">
        <v>78</v>
      </c>
      <c r="F52" s="64">
        <v>14</v>
      </c>
      <c r="G52" s="64">
        <v>36</v>
      </c>
    </row>
    <row r="53" spans="2:29" s="64" customFormat="1" ht="13.8"/>
    <row r="54" spans="2:29" s="64" customFormat="1" ht="13.8"/>
    <row r="55" spans="2:29" s="64" customFormat="1" ht="13.8">
      <c r="B55" s="70" t="s">
        <v>130</v>
      </c>
      <c r="C55" s="70" t="s">
        <v>146</v>
      </c>
      <c r="K55" s="70" t="s">
        <v>145</v>
      </c>
      <c r="R55" s="227" t="s">
        <v>384</v>
      </c>
      <c r="S55" s="227"/>
      <c r="T55" s="227"/>
      <c r="U55" s="227"/>
      <c r="V55" s="227"/>
      <c r="W55" s="227"/>
      <c r="X55" s="227"/>
      <c r="Y55" s="227"/>
      <c r="Z55" s="227"/>
      <c r="AA55" s="227"/>
      <c r="AB55" s="227"/>
      <c r="AC55" s="227"/>
    </row>
    <row r="56" spans="2:29" s="64" customFormat="1" ht="13.8">
      <c r="B56" s="66" t="str">
        <f ca="1">IF(Selected_Customer_Category_ID=1,INDEX(K56:P56,0,Selected_Supply_Size_ID),INDEX(C56:I56,Selected_Supply_Size_ID))</f>
        <v>5kVA, 16kVA, 20A or 60A</v>
      </c>
      <c r="C56" s="66" t="str">
        <f>$O21</f>
        <v>≤100kVA</v>
      </c>
      <c r="D56" s="66" t="str">
        <f>$O22</f>
        <v>&gt;100kVA &amp; ≤500kVA</v>
      </c>
      <c r="E56" s="66" t="str">
        <f>$O23</f>
        <v>&gt;500kVA &amp; ≤1MVA</v>
      </c>
      <c r="F56" s="66" t="str">
        <f>$O24</f>
        <v>&gt;1MVA &amp; ≤5MVA</v>
      </c>
      <c r="G56" s="66" t="str">
        <f>$O25</f>
        <v>&gt;5MVA</v>
      </c>
      <c r="H56" s="66"/>
      <c r="I56" s="66" t="str">
        <f>$O26</f>
        <v>Key customer</v>
      </c>
      <c r="K56" s="66" t="str">
        <f>$O11</f>
        <v>5kVA, 16kVA, 20A or 60A</v>
      </c>
      <c r="L56" s="66" t="str">
        <f>$O12</f>
        <v>25kVA</v>
      </c>
      <c r="M56" s="66" t="str">
        <f>$O13</f>
        <v>32kVA</v>
      </c>
      <c r="N56" s="66" t="str">
        <f>$O14</f>
        <v>50kVA</v>
      </c>
      <c r="O56" s="66" t="str">
        <f>$O15</f>
        <v>&gt;50kVA</v>
      </c>
      <c r="R56" s="66" t="str">
        <f>$O21</f>
        <v>≤100kVA</v>
      </c>
      <c r="S56" s="66" t="str">
        <f>$O22</f>
        <v>&gt;100kVA &amp; ≤500kVA</v>
      </c>
      <c r="T56" s="66" t="str">
        <f>$O23</f>
        <v>&gt;500kVA &amp; ≤1MVA</v>
      </c>
      <c r="U56" s="66" t="str">
        <f>$O24</f>
        <v>&gt;1MVA &amp; ≤5MVA</v>
      </c>
      <c r="V56" s="66" t="str">
        <f>$O25</f>
        <v>&gt;5MVA</v>
      </c>
      <c r="W56" s="66" t="str">
        <f>$O26</f>
        <v>Key customer</v>
      </c>
      <c r="Y56" s="66" t="str">
        <f>$O11</f>
        <v>5kVA, 16kVA, 20A or 60A</v>
      </c>
      <c r="Z56" s="66" t="str">
        <f>$O12</f>
        <v>25kVA</v>
      </c>
      <c r="AA56" s="66" t="str">
        <f>$O13</f>
        <v>32kVA</v>
      </c>
      <c r="AB56" s="66" t="str">
        <f>$O14</f>
        <v>50kVA</v>
      </c>
      <c r="AC56" s="66" t="str">
        <f>$O15</f>
        <v>&gt;50kVA</v>
      </c>
    </row>
    <row r="57" spans="2:29" s="64" customFormat="1" ht="13.8">
      <c r="B57" s="64" t="str">
        <f t="shared" ref="B57:B70" ca="1" si="7">INDEX(K57:O57,0,Selected_Supply_Size_ID)</f>
        <v>Businessrate 1</v>
      </c>
      <c r="C57" s="71" t="s">
        <v>27</v>
      </c>
      <c r="D57" s="71" t="s">
        <v>27</v>
      </c>
      <c r="E57" s="71" t="s">
        <v>27</v>
      </c>
      <c r="F57" s="71" t="s">
        <v>27</v>
      </c>
      <c r="G57" s="71" t="s">
        <v>27</v>
      </c>
      <c r="H57" s="71"/>
      <c r="I57" s="71" t="str">
        <f>F57</f>
        <v>Ruraflex</v>
      </c>
      <c r="K57" s="71" t="str">
        <f t="shared" ref="K57:K70" si="8">IF(IF(Dropdown_Category = 1, Y57, Y85) = 0, "", IF(Dropdown_Category = 1, Y57, Y85))</f>
        <v>Businessrate 1</v>
      </c>
      <c r="L57" s="71" t="str">
        <f t="shared" ref="L57:L70" si="9">IF(IF(Dropdown_Category = 1, Z57, Z85) = 0, "", IF(Dropdown_Category = 1, Z57, Z85))</f>
        <v>Businessrate 1</v>
      </c>
      <c r="M57" s="71" t="str">
        <f t="shared" ref="M57:M70" si="10">IF(IF(Dropdown_Category = 1, AA57, AA85) = 0, "", IF(Dropdown_Category = 1, AA57, AA85))</f>
        <v>Businessrate 1</v>
      </c>
      <c r="N57" s="71" t="str">
        <f t="shared" ref="N57:N70" si="11">IF(IF(Dropdown_Category = 1, AB57, AB85) = 0, "", IF(Dropdown_Category = 1, AB57, AB85))</f>
        <v>Businessrate 2</v>
      </c>
      <c r="O57" s="71" t="str">
        <f t="shared" ref="O57:O70" si="12">IF(IF(Dropdown_Category = 1, AC57, AC85) = 0, "", IF(Dropdown_Category = 1, AC57, AC85))</f>
        <v>Businessrate 2</v>
      </c>
      <c r="R57" s="71" t="s">
        <v>27</v>
      </c>
      <c r="S57" s="71" t="s">
        <v>27</v>
      </c>
      <c r="T57" s="71" t="s">
        <v>27</v>
      </c>
      <c r="U57" s="71" t="s">
        <v>27</v>
      </c>
      <c r="V57" s="71" t="s">
        <v>27</v>
      </c>
      <c r="W57" s="71" t="str">
        <f>U57</f>
        <v>Ruraflex</v>
      </c>
      <c r="Y57" s="71" t="s">
        <v>101</v>
      </c>
      <c r="Z57" s="71" t="s">
        <v>101</v>
      </c>
      <c r="AA57" s="71" t="s">
        <v>101</v>
      </c>
      <c r="AB57" s="71" t="s">
        <v>102</v>
      </c>
      <c r="AC57" s="71" t="s">
        <v>102</v>
      </c>
    </row>
    <row r="58" spans="2:29" s="64" customFormat="1" ht="13.8">
      <c r="B58" s="64" t="str">
        <f t="shared" ca="1" si="7"/>
        <v>Businessrate 4</v>
      </c>
      <c r="C58" s="71" t="s">
        <v>23</v>
      </c>
      <c r="D58" s="71" t="s">
        <v>23</v>
      </c>
      <c r="E58" s="71" t="s">
        <v>23</v>
      </c>
      <c r="F58" s="71" t="s">
        <v>23</v>
      </c>
      <c r="G58" s="71" t="s">
        <v>24</v>
      </c>
      <c r="H58" s="71"/>
      <c r="I58" s="71" t="s">
        <v>24</v>
      </c>
      <c r="K58" s="71" t="str">
        <f t="shared" si="8"/>
        <v>Businessrate 4</v>
      </c>
      <c r="L58" s="71" t="str">
        <f t="shared" si="9"/>
        <v>Businessrate 4</v>
      </c>
      <c r="M58" s="71" t="str">
        <f t="shared" si="10"/>
        <v>Businessrate 4</v>
      </c>
      <c r="N58" s="71" t="str">
        <f t="shared" si="11"/>
        <v>Homepower 2</v>
      </c>
      <c r="O58" s="71" t="str">
        <f t="shared" si="12"/>
        <v>Businessrate 3</v>
      </c>
      <c r="R58" s="71" t="s">
        <v>23</v>
      </c>
      <c r="S58" s="71" t="s">
        <v>23</v>
      </c>
      <c r="T58" s="71" t="s">
        <v>23</v>
      </c>
      <c r="U58" s="71" t="s">
        <v>23</v>
      </c>
      <c r="V58" s="71" t="s">
        <v>24</v>
      </c>
      <c r="W58" s="71" t="s">
        <v>24</v>
      </c>
      <c r="Y58" s="71" t="s">
        <v>104</v>
      </c>
      <c r="Z58" s="71" t="s">
        <v>104</v>
      </c>
      <c r="AA58" s="71" t="s">
        <v>104</v>
      </c>
      <c r="AB58" s="71" t="s">
        <v>107</v>
      </c>
      <c r="AC58" s="71" t="s">
        <v>103</v>
      </c>
    </row>
    <row r="59" spans="2:29" s="64" customFormat="1" ht="13.8">
      <c r="B59" s="64" t="str">
        <f t="shared" ca="1" si="7"/>
        <v>Homepower 4</v>
      </c>
      <c r="C59" s="71" t="s">
        <v>26</v>
      </c>
      <c r="D59" s="71" t="s">
        <v>26</v>
      </c>
      <c r="E59" s="71" t="s">
        <v>26</v>
      </c>
      <c r="F59" s="71" t="s">
        <v>24</v>
      </c>
      <c r="G59" s="71" t="s">
        <v>22</v>
      </c>
      <c r="H59" s="71"/>
      <c r="I59" s="71" t="s">
        <v>22</v>
      </c>
      <c r="K59" s="71" t="str">
        <f t="shared" si="8"/>
        <v>Homepower 4</v>
      </c>
      <c r="L59" s="71" t="str">
        <f t="shared" si="9"/>
        <v>Homepower 1</v>
      </c>
      <c r="M59" s="71" t="str">
        <f t="shared" si="10"/>
        <v>Homepower 1</v>
      </c>
      <c r="N59" s="71" t="str">
        <f t="shared" si="11"/>
        <v>Landrate 2</v>
      </c>
      <c r="O59" s="71" t="str">
        <f t="shared" si="12"/>
        <v>Homepower 2</v>
      </c>
      <c r="R59" s="71" t="s">
        <v>26</v>
      </c>
      <c r="S59" s="71" t="s">
        <v>26</v>
      </c>
      <c r="T59" s="71" t="s">
        <v>26</v>
      </c>
      <c r="U59" s="71" t="s">
        <v>24</v>
      </c>
      <c r="V59" s="71" t="s">
        <v>22</v>
      </c>
      <c r="W59" s="71" t="s">
        <v>22</v>
      </c>
      <c r="Y59" s="71" t="s">
        <v>109</v>
      </c>
      <c r="Z59" s="71" t="s">
        <v>106</v>
      </c>
      <c r="AA59" s="71" t="s">
        <v>106</v>
      </c>
      <c r="AB59" s="71" t="s">
        <v>114</v>
      </c>
      <c r="AC59" s="71" t="s">
        <v>107</v>
      </c>
    </row>
    <row r="60" spans="2:29" s="64" customFormat="1" ht="13.8">
      <c r="B60" s="64" t="str">
        <f t="shared" ca="1" si="7"/>
        <v>Homelight 20A</v>
      </c>
      <c r="C60" s="71" t="s">
        <v>25</v>
      </c>
      <c r="D60" s="71" t="s">
        <v>25</v>
      </c>
      <c r="E60" s="71" t="s">
        <v>25</v>
      </c>
      <c r="F60" s="71" t="s">
        <v>22</v>
      </c>
      <c r="G60" s="71" t="s">
        <v>25</v>
      </c>
      <c r="H60" s="71"/>
      <c r="I60" s="71" t="s">
        <v>25</v>
      </c>
      <c r="K60" s="71" t="str">
        <f t="shared" si="8"/>
        <v>Homelight 20A</v>
      </c>
      <c r="L60" s="71" t="str">
        <f t="shared" si="9"/>
        <v>Landrate 1</v>
      </c>
      <c r="M60" s="71" t="str">
        <f t="shared" si="10"/>
        <v>Landrate 1</v>
      </c>
      <c r="N60" s="71" t="str">
        <f t="shared" si="11"/>
        <v>Homepower Bulk</v>
      </c>
      <c r="O60" s="71" t="str">
        <f t="shared" si="12"/>
        <v>Homepower 3</v>
      </c>
      <c r="R60" s="71" t="s">
        <v>25</v>
      </c>
      <c r="S60" s="71" t="s">
        <v>25</v>
      </c>
      <c r="T60" s="71" t="s">
        <v>25</v>
      </c>
      <c r="U60" s="71" t="s">
        <v>22</v>
      </c>
      <c r="V60" s="71" t="s">
        <v>25</v>
      </c>
      <c r="W60" s="71" t="s">
        <v>25</v>
      </c>
      <c r="Y60" s="71" t="s">
        <v>111</v>
      </c>
      <c r="Z60" s="71" t="s">
        <v>113</v>
      </c>
      <c r="AA60" s="71" t="s">
        <v>113</v>
      </c>
      <c r="AB60" s="71" t="s">
        <v>234</v>
      </c>
      <c r="AC60" s="71" t="s">
        <v>108</v>
      </c>
    </row>
    <row r="61" spans="2:29" s="64" customFormat="1" ht="13.8">
      <c r="B61" s="64" t="str">
        <f t="shared" ca="1" si="7"/>
        <v>Homelight 60A</v>
      </c>
      <c r="C61" s="71" t="s">
        <v>234</v>
      </c>
      <c r="D61" s="71" t="s">
        <v>234</v>
      </c>
      <c r="E61" s="71" t="s">
        <v>234</v>
      </c>
      <c r="F61" s="71" t="s">
        <v>25</v>
      </c>
      <c r="G61" s="71"/>
      <c r="H61" s="71"/>
      <c r="I61" s="71"/>
      <c r="K61" s="71" t="str">
        <f t="shared" si="8"/>
        <v>Homelight 60A</v>
      </c>
      <c r="L61" s="71" t="str">
        <f t="shared" si="9"/>
        <v>Homeflex 1</v>
      </c>
      <c r="M61" s="71" t="str">
        <f t="shared" si="10"/>
        <v>Homeflex 1</v>
      </c>
      <c r="N61" s="71" t="str">
        <f t="shared" si="11"/>
        <v>Homeflex 2</v>
      </c>
      <c r="O61" s="71" t="str">
        <f t="shared" si="12"/>
        <v>Landrate 2</v>
      </c>
      <c r="R61" s="71" t="s">
        <v>234</v>
      </c>
      <c r="S61" s="71" t="s">
        <v>234</v>
      </c>
      <c r="T61" s="71" t="s">
        <v>234</v>
      </c>
      <c r="U61" s="71" t="s">
        <v>25</v>
      </c>
      <c r="V61" s="71"/>
      <c r="W61" s="71"/>
      <c r="Y61" s="71" t="s">
        <v>112</v>
      </c>
      <c r="Z61" s="71" t="s">
        <v>298</v>
      </c>
      <c r="AA61" s="71" t="s">
        <v>298</v>
      </c>
      <c r="AB61" s="71" t="s">
        <v>299</v>
      </c>
      <c r="AC61" s="71" t="s">
        <v>114</v>
      </c>
    </row>
    <row r="62" spans="2:29" s="64" customFormat="1" ht="13.8">
      <c r="B62" s="132" t="str">
        <f t="shared" ca="1" si="7"/>
        <v>Homeflex 4</v>
      </c>
      <c r="C62" s="71"/>
      <c r="D62" s="71"/>
      <c r="E62" s="71"/>
      <c r="F62" s="71"/>
      <c r="G62" s="71"/>
      <c r="H62" s="71"/>
      <c r="I62" s="71"/>
      <c r="K62" s="71" t="str">
        <f t="shared" si="8"/>
        <v>Homeflex 4</v>
      </c>
      <c r="L62" s="71" t="str">
        <f t="shared" si="9"/>
        <v/>
      </c>
      <c r="M62" s="71" t="str">
        <f t="shared" si="10"/>
        <v/>
      </c>
      <c r="N62" s="71" t="str">
        <f t="shared" si="11"/>
        <v/>
      </c>
      <c r="O62" s="71" t="str">
        <f t="shared" si="12"/>
        <v>Landrate 3</v>
      </c>
      <c r="R62" s="71"/>
      <c r="S62" s="71"/>
      <c r="T62" s="71"/>
      <c r="U62" s="71"/>
      <c r="V62" s="71"/>
      <c r="W62" s="71"/>
      <c r="Y62" s="71" t="s">
        <v>301</v>
      </c>
      <c r="Z62" s="71"/>
      <c r="AA62" s="71"/>
      <c r="AB62" s="71"/>
      <c r="AC62" s="71" t="s">
        <v>115</v>
      </c>
    </row>
    <row r="63" spans="2:29" s="64" customFormat="1" ht="13.8">
      <c r="B63" s="132" t="str">
        <f t="shared" ca="1" si="7"/>
        <v>Landrate 1</v>
      </c>
      <c r="C63" s="71"/>
      <c r="D63" s="71"/>
      <c r="E63" s="71"/>
      <c r="F63" s="71"/>
      <c r="G63" s="71"/>
      <c r="H63" s="71"/>
      <c r="I63" s="71"/>
      <c r="K63" s="71" t="str">
        <f t="shared" si="8"/>
        <v>Landrate 1</v>
      </c>
      <c r="L63" s="71" t="str">
        <f t="shared" si="9"/>
        <v/>
      </c>
      <c r="M63" s="71" t="str">
        <f t="shared" si="10"/>
        <v/>
      </c>
      <c r="N63" s="71" t="str">
        <f t="shared" si="11"/>
        <v/>
      </c>
      <c r="O63" s="71" t="str">
        <f t="shared" si="12"/>
        <v>Homepower Bulk</v>
      </c>
      <c r="R63" s="71"/>
      <c r="S63" s="71"/>
      <c r="T63" s="71"/>
      <c r="U63" s="71"/>
      <c r="V63" s="71"/>
      <c r="W63" s="71"/>
      <c r="Y63" s="71" t="s">
        <v>113</v>
      </c>
      <c r="Z63" s="71"/>
      <c r="AA63" s="71"/>
      <c r="AB63" s="71"/>
      <c r="AC63" s="71" t="s">
        <v>234</v>
      </c>
    </row>
    <row r="64" spans="2:29" s="64" customFormat="1" ht="13.8">
      <c r="B64" s="132" t="str">
        <f t="shared" ca="1" si="7"/>
        <v>Landrate 4</v>
      </c>
      <c r="C64" s="71"/>
      <c r="D64" s="71"/>
      <c r="E64" s="71"/>
      <c r="F64" s="71"/>
      <c r="G64" s="71"/>
      <c r="H64" s="71"/>
      <c r="I64" s="71"/>
      <c r="K64" s="71" t="str">
        <f t="shared" si="8"/>
        <v>Landrate 4</v>
      </c>
      <c r="L64" s="71" t="str">
        <f t="shared" si="9"/>
        <v/>
      </c>
      <c r="M64" s="71" t="str">
        <f t="shared" si="10"/>
        <v/>
      </c>
      <c r="N64" s="71" t="str">
        <f t="shared" si="11"/>
        <v/>
      </c>
      <c r="O64" s="71" t="str">
        <f t="shared" si="12"/>
        <v>Homeflex 2</v>
      </c>
      <c r="R64" s="71"/>
      <c r="S64" s="71"/>
      <c r="T64" s="71"/>
      <c r="U64" s="71"/>
      <c r="V64" s="71"/>
      <c r="W64" s="71"/>
      <c r="Y64" s="71" t="s">
        <v>116</v>
      </c>
      <c r="Z64" s="71"/>
      <c r="AA64" s="71"/>
      <c r="AB64" s="71"/>
      <c r="AC64" s="71" t="s">
        <v>299</v>
      </c>
    </row>
    <row r="65" spans="2:29" s="64" customFormat="1" ht="13.8">
      <c r="B65" s="132" t="str">
        <f t="shared" ca="1" si="7"/>
        <v>Landrate Dx</v>
      </c>
      <c r="C65" s="71"/>
      <c r="D65" s="71"/>
      <c r="E65" s="71"/>
      <c r="F65" s="71"/>
      <c r="G65" s="71"/>
      <c r="H65" s="71"/>
      <c r="I65" s="71"/>
      <c r="K65" s="71" t="str">
        <f t="shared" si="8"/>
        <v>Landrate Dx</v>
      </c>
      <c r="L65" s="71" t="str">
        <f t="shared" si="9"/>
        <v/>
      </c>
      <c r="M65" s="71" t="str">
        <f t="shared" si="10"/>
        <v/>
      </c>
      <c r="N65" s="71" t="str">
        <f t="shared" si="11"/>
        <v/>
      </c>
      <c r="O65" s="71" t="str">
        <f t="shared" si="12"/>
        <v>Homeflex 3</v>
      </c>
      <c r="R65" s="71"/>
      <c r="S65" s="71"/>
      <c r="T65" s="71"/>
      <c r="U65" s="71"/>
      <c r="V65" s="71"/>
      <c r="W65" s="71"/>
      <c r="Y65" s="71" t="s">
        <v>118</v>
      </c>
      <c r="Z65" s="71"/>
      <c r="AA65" s="71"/>
      <c r="AB65" s="71"/>
      <c r="AC65" s="71" t="s">
        <v>300</v>
      </c>
    </row>
    <row r="66" spans="2:29" s="64" customFormat="1" ht="13.8">
      <c r="B66" s="132" t="str">
        <f t="shared" ca="1" si="7"/>
        <v>Landlight 20A</v>
      </c>
      <c r="C66" s="71"/>
      <c r="D66" s="71"/>
      <c r="E66" s="71"/>
      <c r="F66" s="71"/>
      <c r="G66" s="71"/>
      <c r="H66" s="71"/>
      <c r="I66" s="71"/>
      <c r="K66" s="71" t="str">
        <f t="shared" si="8"/>
        <v>Landlight 20A</v>
      </c>
      <c r="L66" s="71" t="str">
        <f t="shared" si="9"/>
        <v/>
      </c>
      <c r="M66" s="71" t="str">
        <f t="shared" si="10"/>
        <v/>
      </c>
      <c r="N66" s="71" t="str">
        <f t="shared" si="11"/>
        <v/>
      </c>
      <c r="O66" s="71" t="str">
        <f t="shared" si="12"/>
        <v/>
      </c>
      <c r="R66" s="71"/>
      <c r="S66" s="71"/>
      <c r="T66" s="71"/>
      <c r="U66" s="71"/>
      <c r="V66" s="71"/>
      <c r="W66" s="71"/>
      <c r="Y66" s="71" t="s">
        <v>263</v>
      </c>
      <c r="Z66" s="71"/>
      <c r="AA66" s="71"/>
      <c r="AB66" s="71"/>
      <c r="AC66" s="71"/>
    </row>
    <row r="67" spans="2:29" s="64" customFormat="1" ht="13.8">
      <c r="B67" s="132" t="str">
        <f t="shared" ca="1" si="7"/>
        <v>Landlight 60A</v>
      </c>
      <c r="C67" s="71"/>
      <c r="D67" s="71"/>
      <c r="E67" s="71"/>
      <c r="F67" s="71"/>
      <c r="G67" s="71"/>
      <c r="H67" s="71"/>
      <c r="I67" s="71"/>
      <c r="K67" s="71" t="str">
        <f t="shared" si="8"/>
        <v>Landlight 60A</v>
      </c>
      <c r="L67" s="71" t="str">
        <f t="shared" si="9"/>
        <v/>
      </c>
      <c r="M67" s="71" t="str">
        <f t="shared" si="10"/>
        <v/>
      </c>
      <c r="N67" s="71" t="str">
        <f t="shared" si="11"/>
        <v/>
      </c>
      <c r="O67" s="71" t="str">
        <f t="shared" si="12"/>
        <v/>
      </c>
      <c r="R67" s="71"/>
      <c r="S67" s="71"/>
      <c r="T67" s="71"/>
      <c r="U67" s="71"/>
      <c r="V67" s="71"/>
      <c r="W67" s="71"/>
      <c r="Y67" s="71" t="s">
        <v>264</v>
      </c>
      <c r="Z67" s="71"/>
      <c r="AA67" s="71"/>
      <c r="AB67" s="71"/>
      <c r="AC67" s="71"/>
    </row>
    <row r="68" spans="2:29" s="64" customFormat="1" ht="13.8">
      <c r="B68" s="132" t="str">
        <f t="shared" ca="1" si="7"/>
        <v>Public Lighting All Night</v>
      </c>
      <c r="C68" s="71"/>
      <c r="D68" s="71"/>
      <c r="E68" s="71"/>
      <c r="F68" s="71"/>
      <c r="G68" s="71"/>
      <c r="H68" s="71"/>
      <c r="I68" s="71"/>
      <c r="K68" s="71" t="str">
        <f t="shared" si="8"/>
        <v>Public Lighting All Night</v>
      </c>
      <c r="L68" s="71" t="str">
        <f t="shared" si="9"/>
        <v/>
      </c>
      <c r="M68" s="71" t="str">
        <f t="shared" si="10"/>
        <v/>
      </c>
      <c r="N68" s="71" t="str">
        <f t="shared" si="11"/>
        <v/>
      </c>
      <c r="O68" s="71" t="str">
        <f t="shared" si="12"/>
        <v/>
      </c>
      <c r="R68" s="71"/>
      <c r="S68" s="71"/>
      <c r="T68" s="71"/>
      <c r="U68" s="71"/>
      <c r="V68" s="71"/>
      <c r="W68" s="71"/>
      <c r="Y68" s="71" t="s">
        <v>237</v>
      </c>
      <c r="Z68" s="71"/>
      <c r="AA68" s="71"/>
      <c r="AB68" s="71"/>
      <c r="AC68" s="71"/>
    </row>
    <row r="69" spans="2:29" s="64" customFormat="1" ht="13.8">
      <c r="B69" s="132" t="str">
        <f t="shared" ca="1" si="7"/>
        <v>Public Lighting 24 Hours</v>
      </c>
      <c r="C69" s="71"/>
      <c r="D69" s="71"/>
      <c r="E69" s="71"/>
      <c r="F69" s="71"/>
      <c r="G69" s="71"/>
      <c r="H69" s="71"/>
      <c r="I69" s="71"/>
      <c r="K69" s="71" t="str">
        <f t="shared" si="8"/>
        <v>Public Lighting 24 Hours</v>
      </c>
      <c r="L69" s="71" t="str">
        <f t="shared" si="9"/>
        <v/>
      </c>
      <c r="M69" s="71" t="str">
        <f t="shared" si="10"/>
        <v/>
      </c>
      <c r="N69" s="71" t="str">
        <f t="shared" si="11"/>
        <v/>
      </c>
      <c r="O69" s="71" t="str">
        <f t="shared" si="12"/>
        <v/>
      </c>
      <c r="R69" s="71"/>
      <c r="S69" s="71"/>
      <c r="T69" s="71"/>
      <c r="U69" s="71"/>
      <c r="V69" s="71"/>
      <c r="W69" s="71"/>
      <c r="Y69" s="71" t="s">
        <v>238</v>
      </c>
      <c r="Z69" s="71"/>
      <c r="AA69" s="71"/>
      <c r="AB69" s="71"/>
      <c r="AC69" s="71"/>
    </row>
    <row r="70" spans="2:29" s="64" customFormat="1" ht="13.8">
      <c r="B70" s="132" t="str">
        <f t="shared" ca="1" si="7"/>
        <v>Public Lighting Urban Fixed</v>
      </c>
      <c r="C70" s="71"/>
      <c r="D70" s="71"/>
      <c r="E70" s="71"/>
      <c r="F70" s="71"/>
      <c r="G70" s="71"/>
      <c r="H70" s="71"/>
      <c r="I70" s="71"/>
      <c r="K70" s="71" t="str">
        <f t="shared" si="8"/>
        <v>Public Lighting Urban Fixed</v>
      </c>
      <c r="L70" s="71" t="str">
        <f t="shared" si="9"/>
        <v/>
      </c>
      <c r="M70" s="71" t="str">
        <f t="shared" si="10"/>
        <v/>
      </c>
      <c r="N70" s="71" t="str">
        <f t="shared" si="11"/>
        <v/>
      </c>
      <c r="O70" s="71" t="str">
        <f t="shared" si="12"/>
        <v/>
      </c>
      <c r="R70" s="71"/>
      <c r="S70" s="71"/>
      <c r="T70" s="71"/>
      <c r="U70" s="71"/>
      <c r="V70" s="71"/>
      <c r="W70" s="71"/>
      <c r="Y70" s="71" t="s">
        <v>239</v>
      </c>
      <c r="Z70" s="71"/>
      <c r="AA70" s="71"/>
      <c r="AB70" s="71"/>
      <c r="AC70" s="71"/>
    </row>
    <row r="71" spans="2:29" s="64" customFormat="1" ht="13.8">
      <c r="B71" s="132"/>
      <c r="C71" s="71"/>
      <c r="D71" s="71"/>
      <c r="E71" s="71"/>
      <c r="F71" s="71"/>
      <c r="G71" s="71"/>
      <c r="H71" s="71"/>
      <c r="I71" s="71"/>
      <c r="K71" s="71"/>
      <c r="L71" s="71"/>
      <c r="M71" s="71"/>
      <c r="N71" s="71"/>
      <c r="O71" s="71"/>
      <c r="R71" s="71"/>
      <c r="S71" s="71"/>
      <c r="T71" s="71"/>
      <c r="U71" s="71"/>
      <c r="V71" s="71"/>
      <c r="W71" s="71"/>
      <c r="Y71" s="71"/>
      <c r="Z71" s="71"/>
      <c r="AA71" s="71"/>
      <c r="AB71" s="71"/>
      <c r="AC71" s="71"/>
    </row>
    <row r="72" spans="2:29" s="64" customFormat="1" ht="13.8">
      <c r="R72" s="71"/>
      <c r="S72" s="71"/>
      <c r="T72" s="71"/>
      <c r="U72" s="71"/>
      <c r="V72" s="71"/>
      <c r="W72" s="71"/>
      <c r="Y72" s="71"/>
      <c r="Z72" s="71"/>
      <c r="AA72" s="71"/>
      <c r="AB72" s="71"/>
      <c r="AC72" s="71"/>
    </row>
    <row r="73" spans="2:29" s="64" customFormat="1" ht="13.8">
      <c r="B73" s="64">
        <f ca="1">INDEX(K73:O73,0,Selected_Supply_Size_ID)</f>
        <v>14</v>
      </c>
      <c r="C73" s="64">
        <f>COUNTA(C57:C70)</f>
        <v>5</v>
      </c>
      <c r="D73" s="64">
        <f>COUNTA(D57:D70)</f>
        <v>5</v>
      </c>
      <c r="E73" s="64">
        <f>COUNTA(E57:E70)</f>
        <v>5</v>
      </c>
      <c r="F73" s="64">
        <f>COUNTA(F57:F70)</f>
        <v>5</v>
      </c>
      <c r="G73" s="64">
        <f>COUNTA(G57:G70)</f>
        <v>4</v>
      </c>
      <c r="I73" s="64">
        <f>COUNTA(I57:I70)</f>
        <v>4</v>
      </c>
      <c r="K73" s="64">
        <f>COUNTA(K57:K70)</f>
        <v>14</v>
      </c>
      <c r="L73" s="64">
        <f>COUNTA(L57:L70)</f>
        <v>14</v>
      </c>
      <c r="M73" s="64">
        <f>COUNTA(M57:M70)</f>
        <v>14</v>
      </c>
      <c r="N73" s="64">
        <f>COUNTA(N57:N70)</f>
        <v>14</v>
      </c>
      <c r="O73" s="64">
        <f>COUNTA(O57:O70)</f>
        <v>14</v>
      </c>
      <c r="R73" s="71"/>
      <c r="S73" s="71"/>
      <c r="T73" s="71"/>
      <c r="U73" s="71"/>
      <c r="V73" s="71"/>
      <c r="W73" s="71"/>
      <c r="Y73" s="71"/>
      <c r="Z73" s="71"/>
      <c r="AA73" s="71"/>
      <c r="AB73" s="71"/>
      <c r="AC73" s="71"/>
    </row>
    <row r="74" spans="2:29" s="64" customFormat="1" ht="13.8">
      <c r="R74" s="71"/>
      <c r="S74" s="71"/>
      <c r="T74" s="71"/>
      <c r="U74" s="71"/>
      <c r="V74" s="71"/>
      <c r="W74" s="71"/>
      <c r="Y74" s="71"/>
      <c r="Z74" s="71"/>
      <c r="AA74" s="71"/>
      <c r="AB74" s="71"/>
      <c r="AC74" s="71"/>
    </row>
    <row r="75" spans="2:29" s="64" customFormat="1" ht="13.8">
      <c r="B75" s="70"/>
      <c r="R75" s="71"/>
      <c r="S75" s="71"/>
      <c r="T75" s="71"/>
      <c r="U75" s="71"/>
      <c r="V75" s="71"/>
      <c r="W75" s="71"/>
      <c r="Y75" s="71"/>
      <c r="Z75" s="71"/>
      <c r="AA75" s="71"/>
      <c r="AB75" s="71"/>
      <c r="AC75" s="71"/>
    </row>
    <row r="76" spans="2:29" s="64" customFormat="1" ht="13.8">
      <c r="B76" s="66" t="s">
        <v>166</v>
      </c>
      <c r="C76" s="66" t="s">
        <v>78</v>
      </c>
      <c r="D76" s="66" t="s">
        <v>79</v>
      </c>
      <c r="K76" s="66" t="s">
        <v>149</v>
      </c>
      <c r="L76" s="66" t="s">
        <v>150</v>
      </c>
      <c r="M76" s="66" t="s">
        <v>70</v>
      </c>
      <c r="N76" s="66" t="s">
        <v>35</v>
      </c>
      <c r="O76" s="66" t="s">
        <v>208</v>
      </c>
      <c r="R76" s="71"/>
      <c r="S76" s="71"/>
      <c r="T76" s="71"/>
      <c r="U76" s="71"/>
      <c r="V76" s="71"/>
      <c r="W76" s="71"/>
      <c r="Y76" s="71"/>
      <c r="Z76" s="71"/>
      <c r="AA76" s="71"/>
      <c r="AB76" s="71"/>
      <c r="AC76" s="71"/>
    </row>
    <row r="77" spans="2:29" s="64" customFormat="1" ht="13.8">
      <c r="B77" s="64" t="str">
        <f ca="1">INDEX($C77:$D77,Selected_Tariff_Type_ID)</f>
        <v>&lt; 500V</v>
      </c>
      <c r="C77" s="71" t="s">
        <v>43</v>
      </c>
      <c r="D77" s="71" t="s">
        <v>43</v>
      </c>
      <c r="K77" s="64" t="str">
        <f t="shared" ref="K77:K90" ca="1" si="13">(IF(Selected_Customer_Category_ID=1,L77,B57))</f>
        <v>Businessrate 1</v>
      </c>
      <c r="L77" s="64" t="str">
        <f ca="1">B57</f>
        <v>Businessrate 1</v>
      </c>
      <c r="M77" s="64">
        <v>1</v>
      </c>
      <c r="N77" s="64">
        <f t="shared" ref="N77:N90" ca="1" si="14">IFERROR(INDEX($F$17:$F$52,MATCH(K77,Full_Tariff_List,0),0),0)</f>
        <v>1</v>
      </c>
      <c r="O77" s="64" t="str">
        <f ca="1">IFERROR(INDEX($L$17:$L$30,MATCH(N77,$M$17:$M$30,0),0),0)</f>
        <v>Commercial Urban</v>
      </c>
      <c r="R77" s="71"/>
      <c r="S77" s="71"/>
      <c r="T77" s="71"/>
      <c r="U77" s="71"/>
      <c r="V77" s="71"/>
      <c r="W77" s="71"/>
      <c r="Y77" s="71"/>
      <c r="Z77" s="71"/>
      <c r="AA77" s="71"/>
      <c r="AB77" s="71"/>
      <c r="AC77" s="71"/>
    </row>
    <row r="78" spans="2:29" s="64" customFormat="1" ht="13.8">
      <c r="B78" s="64" t="str">
        <f ca="1">INDEX($C78:$D78,Selected_Tariff_Type_ID)</f>
        <v>≥ 500V &amp; &lt; 66kV</v>
      </c>
      <c r="C78" s="71" t="s">
        <v>44</v>
      </c>
      <c r="D78" s="71" t="s">
        <v>44</v>
      </c>
      <c r="K78" s="64" t="str">
        <f t="shared" ca="1" si="13"/>
        <v>Businessrate 4</v>
      </c>
      <c r="L78" s="64" t="str">
        <f ca="1">B58</f>
        <v>Businessrate 4</v>
      </c>
      <c r="M78" s="64">
        <v>2</v>
      </c>
      <c r="N78" s="64">
        <f t="shared" ca="1" si="14"/>
        <v>1</v>
      </c>
      <c r="O78" s="64" t="str">
        <f ca="1">IFERROR(INDEX($L$17:$L$30,MATCH(N78,$M$17:$M$30,0),0),0)</f>
        <v>Commercial Urban</v>
      </c>
      <c r="R78" s="71"/>
      <c r="S78" s="71"/>
      <c r="T78" s="71"/>
      <c r="U78" s="71"/>
      <c r="V78" s="71"/>
      <c r="W78" s="71"/>
      <c r="Y78" s="71"/>
      <c r="Z78" s="71"/>
      <c r="AA78" s="71"/>
      <c r="AB78" s="71"/>
      <c r="AC78" s="71"/>
    </row>
    <row r="79" spans="2:29" s="64" customFormat="1" ht="13.8">
      <c r="B79" s="64" t="str">
        <f ca="1">INDEX($C79:$D79,Selected_Tariff_Type_ID)</f>
        <v>≥ 66kV &amp; ≤ 132kV</v>
      </c>
      <c r="C79" s="71" t="s">
        <v>45</v>
      </c>
      <c r="D79" s="71"/>
      <c r="K79" s="64" t="str">
        <f t="shared" ca="1" si="13"/>
        <v>Homepower 4</v>
      </c>
      <c r="L79" s="64" t="str">
        <f ca="1">B59</f>
        <v>Homepower 4</v>
      </c>
      <c r="M79" s="64">
        <v>3</v>
      </c>
      <c r="N79" s="64">
        <f t="shared" ca="1" si="14"/>
        <v>3</v>
      </c>
      <c r="O79" s="64" t="str">
        <f ca="1">IFERROR(INDEX($L$17:$L$30,MATCH(N79,$M$17:$M$30,0),0),0)</f>
        <v>Residential Urban</v>
      </c>
    </row>
    <row r="80" spans="2:29" s="64" customFormat="1" ht="13.8">
      <c r="B80" s="64" t="str">
        <f ca="1">INDEX($C80:$D80,Selected_Tariff_Type_ID)</f>
        <v>&gt; 132kV</v>
      </c>
      <c r="C80" s="71" t="s">
        <v>46</v>
      </c>
      <c r="D80" s="71"/>
      <c r="K80" s="64" t="str">
        <f t="shared" ca="1" si="13"/>
        <v>Homelight 20A</v>
      </c>
      <c r="L80" s="64" t="str">
        <f ca="1">B60</f>
        <v>Homelight 20A</v>
      </c>
      <c r="M80" s="64">
        <v>4</v>
      </c>
      <c r="N80" s="64">
        <f t="shared" ca="1" si="14"/>
        <v>2</v>
      </c>
      <c r="O80" s="64" t="str">
        <f ca="1">IFERROR(INDEX($L$17:$L$30,MATCH(N80,$M$17:$M$30,0),0),0)</f>
        <v>Residential Urban</v>
      </c>
    </row>
    <row r="81" spans="2:29" s="64" customFormat="1" ht="13.8">
      <c r="K81" s="64" t="str">
        <f t="shared" ca="1" si="13"/>
        <v>Homelight 60A</v>
      </c>
      <c r="L81" s="64" t="str">
        <f ca="1">B61</f>
        <v>Homelight 60A</v>
      </c>
      <c r="M81" s="64">
        <v>5</v>
      </c>
      <c r="N81" s="64">
        <f t="shared" ca="1" si="14"/>
        <v>2</v>
      </c>
      <c r="O81" s="64" t="str">
        <f ca="1">IFERROR(INDEX($L$17:$L$30,MATCH(N81,$M$17:$M$30,0),0),0)</f>
        <v>Residential Urban</v>
      </c>
      <c r="R81" s="64">
        <f>COUNTA(R57:R70)</f>
        <v>5</v>
      </c>
      <c r="S81" s="64">
        <f t="shared" ref="S81:AC81" si="15">COUNTA(S57:S70)</f>
        <v>5</v>
      </c>
      <c r="T81" s="64">
        <f t="shared" si="15"/>
        <v>5</v>
      </c>
      <c r="U81" s="64">
        <f t="shared" si="15"/>
        <v>5</v>
      </c>
      <c r="V81" s="64">
        <f t="shared" si="15"/>
        <v>4</v>
      </c>
      <c r="W81" s="64">
        <f t="shared" si="15"/>
        <v>4</v>
      </c>
      <c r="X81" s="64">
        <f t="shared" si="15"/>
        <v>0</v>
      </c>
      <c r="Y81" s="64">
        <f t="shared" si="15"/>
        <v>14</v>
      </c>
      <c r="Z81" s="64">
        <f t="shared" si="15"/>
        <v>5</v>
      </c>
      <c r="AA81" s="64">
        <f t="shared" si="15"/>
        <v>5</v>
      </c>
      <c r="AB81" s="64">
        <f t="shared" si="15"/>
        <v>5</v>
      </c>
      <c r="AC81" s="64">
        <f t="shared" si="15"/>
        <v>9</v>
      </c>
    </row>
    <row r="82" spans="2:29" s="64" customFormat="1" ht="13.8">
      <c r="B82" s="64">
        <f ca="1">INDEX($C82:$D82,Selected_Tariff_Type_ID)</f>
        <v>4</v>
      </c>
      <c r="C82" s="64">
        <f>COUNTA(C77:C80)</f>
        <v>4</v>
      </c>
      <c r="D82" s="64">
        <f>COUNTA(D77:D80)</f>
        <v>2</v>
      </c>
      <c r="K82" s="64" t="str">
        <f t="shared" ca="1" si="13"/>
        <v>Landrate 1</v>
      </c>
      <c r="L82" s="64" t="str">
        <f t="shared" ref="L82:L88" ca="1" si="16">B63</f>
        <v>Landrate 1</v>
      </c>
      <c r="M82" s="64">
        <v>6</v>
      </c>
      <c r="N82" s="64">
        <f t="shared" ca="1" si="14"/>
        <v>4</v>
      </c>
      <c r="O82" s="64" t="str">
        <f t="shared" ref="O82:O90" ca="1" si="17">IFERROR(INDEX($L$17:$L$30,MATCH(N82,$M$17:$M$30,0),0),0)</f>
        <v>Rural</v>
      </c>
    </row>
    <row r="83" spans="2:29" s="64" customFormat="1" ht="13.8">
      <c r="K83" s="64" t="str">
        <f t="shared" ca="1" si="13"/>
        <v>Landrate 4</v>
      </c>
      <c r="L83" s="64" t="str">
        <f t="shared" ca="1" si="16"/>
        <v>Landrate 4</v>
      </c>
      <c r="M83" s="64">
        <v>7</v>
      </c>
      <c r="N83" s="64">
        <f t="shared" ca="1" si="14"/>
        <v>4</v>
      </c>
      <c r="O83" s="64" t="str">
        <f t="shared" ca="1" si="17"/>
        <v>Rural</v>
      </c>
      <c r="R83" s="228" t="s">
        <v>385</v>
      </c>
      <c r="S83" s="228"/>
      <c r="T83" s="228"/>
      <c r="U83" s="228"/>
      <c r="V83" s="228"/>
      <c r="W83" s="228"/>
      <c r="X83" s="228"/>
      <c r="Y83" s="228"/>
      <c r="Z83" s="228"/>
      <c r="AA83" s="228"/>
      <c r="AB83" s="228"/>
      <c r="AC83" s="228"/>
    </row>
    <row r="84" spans="2:29" s="64" customFormat="1" ht="13.8">
      <c r="B84" s="66" t="s">
        <v>42</v>
      </c>
      <c r="C84" s="66" t="s">
        <v>153</v>
      </c>
      <c r="D84" s="66" t="s">
        <v>150</v>
      </c>
      <c r="E84" s="66" t="s">
        <v>54</v>
      </c>
      <c r="K84" s="64" t="str">
        <f t="shared" ca="1" si="13"/>
        <v>Landrate Dx</v>
      </c>
      <c r="L84" s="64" t="str">
        <f t="shared" ca="1" si="16"/>
        <v>Landrate Dx</v>
      </c>
      <c r="M84" s="64">
        <v>8</v>
      </c>
      <c r="N84" s="64">
        <f t="shared" ca="1" si="14"/>
        <v>4</v>
      </c>
      <c r="O84" s="64" t="str">
        <f t="shared" ca="1" si="17"/>
        <v>Rural</v>
      </c>
      <c r="R84" s="66" t="str">
        <f t="shared" ref="R84:AC84" si="18">R56</f>
        <v>≤100kVA</v>
      </c>
      <c r="S84" s="66" t="str">
        <f t="shared" si="18"/>
        <v>&gt;100kVA &amp; ≤500kVA</v>
      </c>
      <c r="T84" s="66" t="str">
        <f t="shared" si="18"/>
        <v>&gt;500kVA &amp; ≤1MVA</v>
      </c>
      <c r="U84" s="66" t="str">
        <f t="shared" si="18"/>
        <v>&gt;1MVA &amp; ≤5MVA</v>
      </c>
      <c r="V84" s="66" t="str">
        <f t="shared" si="18"/>
        <v>&gt;5MVA</v>
      </c>
      <c r="W84" s="66" t="str">
        <f t="shared" si="18"/>
        <v>Key customer</v>
      </c>
      <c r="X84" s="64">
        <f t="shared" si="18"/>
        <v>0</v>
      </c>
      <c r="Y84" s="66" t="str">
        <f t="shared" si="18"/>
        <v>5kVA, 16kVA, 20A or 60A</v>
      </c>
      <c r="Z84" s="66" t="str">
        <f t="shared" si="18"/>
        <v>25kVA</v>
      </c>
      <c r="AA84" s="66" t="str">
        <f t="shared" si="18"/>
        <v>32kVA</v>
      </c>
      <c r="AB84" s="66" t="str">
        <f t="shared" si="18"/>
        <v>50kVA</v>
      </c>
      <c r="AC84" s="66" t="str">
        <f t="shared" si="18"/>
        <v>&gt;50kVA</v>
      </c>
    </row>
    <row r="85" spans="2:29" s="64" customFormat="1" ht="13.8">
      <c r="B85" s="64" t="str">
        <f>IF(Selected_Customer_Category_ID=1,D85,C85)</f>
        <v>&lt; 500V</v>
      </c>
      <c r="C85" s="64" t="str">
        <f ca="1">B77</f>
        <v>&lt; 500V</v>
      </c>
      <c r="D85" s="64" t="s">
        <v>43</v>
      </c>
      <c r="E85" s="64">
        <v>1</v>
      </c>
      <c r="K85" s="64" t="str">
        <f t="shared" ca="1" si="13"/>
        <v>Landlight 20A</v>
      </c>
      <c r="L85" s="64" t="str">
        <f t="shared" ca="1" si="16"/>
        <v>Landlight 20A</v>
      </c>
      <c r="M85" s="64">
        <v>9</v>
      </c>
      <c r="N85" s="64">
        <f t="shared" ca="1" si="14"/>
        <v>4</v>
      </c>
      <c r="O85" s="64" t="str">
        <f t="shared" ca="1" si="17"/>
        <v>Rural</v>
      </c>
      <c r="R85" s="71" t="s">
        <v>361</v>
      </c>
      <c r="S85" s="71" t="s">
        <v>361</v>
      </c>
      <c r="T85" s="71" t="s">
        <v>361</v>
      </c>
      <c r="U85" s="71" t="s">
        <v>361</v>
      </c>
      <c r="V85" s="71" t="s">
        <v>361</v>
      </c>
      <c r="W85" s="71" t="s">
        <v>361</v>
      </c>
      <c r="Y85" s="71" t="s">
        <v>362</v>
      </c>
      <c r="Z85" s="71" t="s">
        <v>362</v>
      </c>
      <c r="AA85" s="71" t="s">
        <v>362</v>
      </c>
      <c r="AB85" s="71" t="s">
        <v>364</v>
      </c>
      <c r="AC85" s="71" t="s">
        <v>364</v>
      </c>
    </row>
    <row r="86" spans="2:29" s="64" customFormat="1" ht="13.8">
      <c r="B86" s="64" t="str">
        <f>IF(Selected_Customer_Category_ID=1,D86,C86)</f>
        <v>≥ 500V &amp; &lt; 66kV</v>
      </c>
      <c r="C86" s="64" t="str">
        <f ca="1">B78</f>
        <v>≥ 500V &amp; &lt; 66kV</v>
      </c>
      <c r="D86" s="64" t="s">
        <v>44</v>
      </c>
      <c r="E86" s="64">
        <v>2</v>
      </c>
      <c r="K86" s="64" t="str">
        <f t="shared" ca="1" si="13"/>
        <v>Landlight 60A</v>
      </c>
      <c r="L86" s="64" t="str">
        <f t="shared" ca="1" si="16"/>
        <v>Landlight 60A</v>
      </c>
      <c r="M86" s="64">
        <v>10</v>
      </c>
      <c r="N86" s="64">
        <f t="shared" ca="1" si="14"/>
        <v>4</v>
      </c>
      <c r="O86" s="64" t="str">
        <f t="shared" ca="1" si="17"/>
        <v>Rural</v>
      </c>
      <c r="R86" s="71"/>
      <c r="S86" s="71"/>
      <c r="T86" s="71"/>
      <c r="U86" s="71"/>
      <c r="V86" s="71"/>
      <c r="W86" s="71"/>
      <c r="Y86" s="71" t="s">
        <v>366</v>
      </c>
      <c r="Z86" s="71" t="s">
        <v>366</v>
      </c>
      <c r="AA86" s="71" t="s">
        <v>366</v>
      </c>
      <c r="AB86" s="71"/>
      <c r="AC86" s="71" t="s">
        <v>365</v>
      </c>
    </row>
    <row r="87" spans="2:29" s="64" customFormat="1" ht="13.8">
      <c r="B87" s="64">
        <f>IF(Selected_Customer_Category_ID=1,D87,C87)</f>
        <v>0</v>
      </c>
      <c r="C87" s="64" t="str">
        <f ca="1">B79</f>
        <v>≥ 66kV &amp; ≤ 132kV</v>
      </c>
      <c r="E87" s="64">
        <v>3</v>
      </c>
      <c r="K87" s="64" t="str">
        <f t="shared" ca="1" si="13"/>
        <v>Public Lighting All Night</v>
      </c>
      <c r="L87" s="64" t="str">
        <f t="shared" ca="1" si="16"/>
        <v>Public Lighting All Night</v>
      </c>
      <c r="M87" s="64">
        <v>11</v>
      </c>
      <c r="N87" s="64">
        <f t="shared" ca="1" si="14"/>
        <v>11</v>
      </c>
      <c r="O87" s="64" t="str">
        <f t="shared" ca="1" si="17"/>
        <v>Commercial Urban</v>
      </c>
      <c r="R87" s="71"/>
      <c r="S87" s="71"/>
      <c r="T87" s="71"/>
      <c r="U87" s="71"/>
      <c r="V87" s="71"/>
      <c r="W87" s="71"/>
      <c r="Y87" s="71" t="s">
        <v>237</v>
      </c>
      <c r="Z87" s="71" t="s">
        <v>238</v>
      </c>
      <c r="AA87" s="71" t="s">
        <v>238</v>
      </c>
      <c r="AB87" s="71"/>
      <c r="AC87" s="71"/>
    </row>
    <row r="88" spans="2:29" s="64" customFormat="1" ht="13.8">
      <c r="B88" s="64">
        <f>IF(Selected_Customer_Category_ID=1,D88,C88)</f>
        <v>0</v>
      </c>
      <c r="C88" s="64" t="str">
        <f ca="1">B80</f>
        <v>&gt; 132kV</v>
      </c>
      <c r="E88" s="64">
        <v>4</v>
      </c>
      <c r="K88" s="64" t="str">
        <f t="shared" ca="1" si="13"/>
        <v>Public Lighting 24 Hours</v>
      </c>
      <c r="L88" s="64" t="str">
        <f t="shared" ca="1" si="16"/>
        <v>Public Lighting 24 Hours</v>
      </c>
      <c r="M88" s="64">
        <v>12</v>
      </c>
      <c r="N88" s="64">
        <f t="shared" ca="1" si="14"/>
        <v>11</v>
      </c>
      <c r="O88" s="64" t="str">
        <f t="shared" ca="1" si="17"/>
        <v>Commercial Urban</v>
      </c>
      <c r="R88" s="71"/>
      <c r="S88" s="71"/>
      <c r="T88" s="71"/>
      <c r="U88" s="71"/>
      <c r="V88" s="71"/>
      <c r="W88" s="71"/>
      <c r="Y88" s="71" t="s">
        <v>238</v>
      </c>
      <c r="Z88" s="71" t="s">
        <v>237</v>
      </c>
      <c r="AA88" s="71" t="s">
        <v>237</v>
      </c>
      <c r="AB88" s="71"/>
      <c r="AC88" s="71"/>
    </row>
    <row r="89" spans="2:29" s="64" customFormat="1" ht="13.8">
      <c r="K89" s="64" t="str">
        <f t="shared" ca="1" si="13"/>
        <v>Homeflex 4</v>
      </c>
      <c r="L89" s="64" t="str">
        <f ca="1">B62</f>
        <v>Homeflex 4</v>
      </c>
      <c r="M89" s="64">
        <v>13</v>
      </c>
      <c r="N89" s="64">
        <f t="shared" ca="1" si="14"/>
        <v>14</v>
      </c>
      <c r="O89" s="64" t="str">
        <f t="shared" ca="1" si="17"/>
        <v>Residential Urban</v>
      </c>
      <c r="R89" s="71"/>
      <c r="S89" s="71"/>
      <c r="T89" s="71"/>
      <c r="U89" s="71"/>
      <c r="V89" s="71"/>
      <c r="W89" s="71"/>
      <c r="Y89" s="71" t="s">
        <v>239</v>
      </c>
      <c r="Z89" s="71"/>
      <c r="AA89" s="71"/>
      <c r="AB89" s="71"/>
      <c r="AC89" s="71"/>
    </row>
    <row r="90" spans="2:29" s="64" customFormat="1" ht="13.8">
      <c r="K90" s="64" t="str">
        <f t="shared" ca="1" si="13"/>
        <v>Public Lighting Urban Fixed</v>
      </c>
      <c r="L90" s="64" t="str">
        <f ca="1">B70</f>
        <v>Public Lighting Urban Fixed</v>
      </c>
      <c r="M90" s="64">
        <v>14</v>
      </c>
      <c r="N90" s="64">
        <f t="shared" ca="1" si="14"/>
        <v>11</v>
      </c>
      <c r="O90" s="64" t="str">
        <f t="shared" ca="1" si="17"/>
        <v>Commercial Urban</v>
      </c>
      <c r="R90" s="71"/>
      <c r="S90" s="71"/>
      <c r="T90" s="71"/>
      <c r="U90" s="71"/>
      <c r="V90" s="71"/>
      <c r="W90" s="71"/>
      <c r="Y90" s="71"/>
      <c r="Z90" s="71"/>
      <c r="AA90" s="71"/>
      <c r="AB90" s="71"/>
      <c r="AC90" s="71"/>
    </row>
    <row r="91" spans="2:29" s="64" customFormat="1" ht="13.8">
      <c r="B91" s="64">
        <f>IF(Selected_Customer_Category_ID=1,D91,C91)</f>
        <v>2</v>
      </c>
      <c r="C91" s="64">
        <f ca="1">B82</f>
        <v>4</v>
      </c>
      <c r="D91" s="64">
        <f>COUNTA(D85:D88)</f>
        <v>2</v>
      </c>
      <c r="K91" s="64">
        <f ca="1">IF(Selected_Customer_Category_ID=1,L91,B73)</f>
        <v>14</v>
      </c>
      <c r="L91" s="64">
        <f ca="1">Supply_Tariff_List_Count</f>
        <v>14</v>
      </c>
      <c r="R91" s="71"/>
      <c r="S91" s="71"/>
      <c r="T91" s="71"/>
      <c r="U91" s="71"/>
      <c r="V91" s="71"/>
      <c r="W91" s="71"/>
      <c r="Y91" s="71"/>
      <c r="Z91" s="71"/>
      <c r="AA91" s="71"/>
      <c r="AB91" s="71"/>
      <c r="AC91" s="71"/>
    </row>
    <row r="92" spans="2:29" s="64" customFormat="1" ht="13.8">
      <c r="R92" s="71"/>
      <c r="S92" s="71"/>
      <c r="T92" s="71"/>
      <c r="U92" s="71"/>
      <c r="V92" s="71"/>
      <c r="W92" s="71"/>
      <c r="Y92" s="71"/>
      <c r="Z92" s="71"/>
      <c r="AA92" s="71"/>
      <c r="AB92" s="71"/>
      <c r="AC92" s="71"/>
    </row>
    <row r="93" spans="2:29" s="64" customFormat="1" ht="13.8">
      <c r="B93" s="66" t="s">
        <v>47</v>
      </c>
      <c r="C93" s="66" t="s">
        <v>153</v>
      </c>
      <c r="D93" s="66" t="s">
        <v>150</v>
      </c>
      <c r="E93" s="66" t="s">
        <v>55</v>
      </c>
      <c r="K93" s="64" t="s">
        <v>214</v>
      </c>
      <c r="L93" s="64">
        <f ca="1">MATCH(Selected_Base_Tariff,Compare_Tariff_List,0)</f>
        <v>1</v>
      </c>
      <c r="R93" s="71"/>
      <c r="S93" s="71"/>
      <c r="T93" s="71"/>
      <c r="U93" s="71"/>
      <c r="V93" s="71"/>
      <c r="W93" s="71"/>
      <c r="Y93" s="71"/>
      <c r="Z93" s="71"/>
      <c r="AA93" s="71"/>
      <c r="AB93" s="71"/>
      <c r="AC93" s="71"/>
    </row>
    <row r="94" spans="2:29" s="64" customFormat="1" ht="13.8">
      <c r="B94" s="64" t="str">
        <f>IF(Selected_Customer_Category_ID=1,D94,C94)</f>
        <v>Not Applicable</v>
      </c>
      <c r="C94" s="64" t="s">
        <v>48</v>
      </c>
      <c r="D94" s="64" t="s">
        <v>154</v>
      </c>
      <c r="E94" s="64">
        <v>0</v>
      </c>
      <c r="R94" s="71"/>
      <c r="S94" s="71"/>
      <c r="T94" s="71"/>
      <c r="U94" s="71"/>
      <c r="V94" s="71"/>
      <c r="W94" s="71"/>
      <c r="Y94" s="71"/>
      <c r="Z94" s="71"/>
      <c r="AA94" s="71"/>
      <c r="AB94" s="71"/>
      <c r="AC94" s="71"/>
    </row>
    <row r="95" spans="2:29" s="64" customFormat="1" ht="13.8">
      <c r="B95" s="64">
        <f>IF(Selected_Customer_Category_ID=1,D95,C95)</f>
        <v>0</v>
      </c>
      <c r="C95" s="64" t="s">
        <v>49</v>
      </c>
      <c r="E95" s="64">
        <v>1</v>
      </c>
      <c r="R95" s="71"/>
      <c r="S95" s="71"/>
      <c r="T95" s="71"/>
      <c r="U95" s="71"/>
      <c r="V95" s="71"/>
      <c r="W95" s="71"/>
      <c r="Y95" s="71"/>
      <c r="Z95" s="71"/>
      <c r="AA95" s="71"/>
      <c r="AB95" s="71"/>
      <c r="AC95" s="71"/>
    </row>
    <row r="96" spans="2:29" s="64" customFormat="1" ht="13.8">
      <c r="B96" s="64">
        <f>IF(Selected_Customer_Category_ID=1,D96,C96)</f>
        <v>0</v>
      </c>
      <c r="C96" s="64" t="s">
        <v>50</v>
      </c>
      <c r="E96" s="64">
        <v>2</v>
      </c>
      <c r="R96" s="71"/>
      <c r="S96" s="71"/>
      <c r="T96" s="71"/>
      <c r="U96" s="71"/>
      <c r="V96" s="71"/>
      <c r="W96" s="71"/>
      <c r="Y96" s="71"/>
      <c r="Z96" s="71"/>
      <c r="AA96" s="71"/>
      <c r="AB96" s="71"/>
      <c r="AC96" s="71"/>
    </row>
    <row r="97" spans="2:29" s="64" customFormat="1" ht="13.8">
      <c r="B97" s="64">
        <f>IF(Selected_Customer_Category_ID=1,D97,C97)</f>
        <v>0</v>
      </c>
      <c r="C97" s="64" t="s">
        <v>51</v>
      </c>
      <c r="E97" s="64">
        <v>3</v>
      </c>
      <c r="R97" s="71"/>
      <c r="S97" s="71"/>
      <c r="T97" s="71"/>
      <c r="U97" s="71"/>
      <c r="V97" s="71"/>
      <c r="W97" s="71"/>
      <c r="Y97" s="71"/>
      <c r="Z97" s="71"/>
      <c r="AA97" s="71"/>
      <c r="AB97" s="71"/>
      <c r="AC97" s="71"/>
    </row>
    <row r="98" spans="2:29" s="64" customFormat="1" ht="13.8">
      <c r="R98" s="71"/>
      <c r="S98" s="71"/>
      <c r="T98" s="71"/>
      <c r="U98" s="71"/>
      <c r="V98" s="71"/>
      <c r="W98" s="71"/>
      <c r="Y98" s="71"/>
      <c r="Z98" s="71"/>
      <c r="AA98" s="71"/>
      <c r="AB98" s="71"/>
      <c r="AC98" s="71"/>
    </row>
    <row r="99" spans="2:29" s="64" customFormat="1" ht="13.8">
      <c r="B99" s="64">
        <f>IF(Selected_Customer_Category_ID=1,D99,C99)</f>
        <v>1</v>
      </c>
      <c r="C99" s="64">
        <f>COUNTA(C94:C97)</f>
        <v>4</v>
      </c>
      <c r="D99" s="64">
        <f>COUNTA(D94:D97)</f>
        <v>1</v>
      </c>
      <c r="K99" s="121" t="s">
        <v>283</v>
      </c>
    </row>
    <row r="100" spans="2:29" s="64" customFormat="1" ht="13.8"/>
    <row r="101" spans="2:29" s="64" customFormat="1" ht="13.8"/>
    <row r="102" spans="2:29" s="64" customFormat="1" ht="13.8">
      <c r="B102" s="66" t="s">
        <v>193</v>
      </c>
      <c r="C102" s="66" t="s">
        <v>194</v>
      </c>
      <c r="D102" s="66" t="s">
        <v>157</v>
      </c>
    </row>
    <row r="103" spans="2:29" s="64" customFormat="1" ht="13.8"/>
    <row r="104" spans="2:29" s="64" customFormat="1" ht="13.8">
      <c r="B104" s="72">
        <f>DATE(YEAR(Period)-1,2,)</f>
        <v>46053</v>
      </c>
      <c r="C104" s="64">
        <v>1</v>
      </c>
      <c r="D104" s="64" t="s">
        <v>12</v>
      </c>
    </row>
    <row r="105" spans="2:29" s="64" customFormat="1" ht="13.8">
      <c r="B105" s="72">
        <f>EOMONTH(B104,1)</f>
        <v>46081</v>
      </c>
      <c r="C105" s="64">
        <v>2</v>
      </c>
      <c r="D105" s="64" t="s">
        <v>12</v>
      </c>
    </row>
    <row r="106" spans="2:29" s="64" customFormat="1" ht="13.8">
      <c r="B106" s="72">
        <f t="shared" ref="B106:B115" si="19">EOMONTH(B105,1)</f>
        <v>46112</v>
      </c>
      <c r="C106" s="64">
        <v>3</v>
      </c>
      <c r="D106" s="64" t="s">
        <v>13</v>
      </c>
    </row>
    <row r="107" spans="2:29" s="64" customFormat="1" ht="13.8">
      <c r="B107" s="72">
        <f t="shared" si="19"/>
        <v>46142</v>
      </c>
      <c r="C107" s="64">
        <v>4</v>
      </c>
      <c r="D107" s="64" t="s">
        <v>12</v>
      </c>
    </row>
    <row r="108" spans="2:29" s="64" customFormat="1" ht="13.8">
      <c r="B108" s="72">
        <f t="shared" si="19"/>
        <v>46173</v>
      </c>
      <c r="C108" s="64">
        <v>5</v>
      </c>
      <c r="D108" s="64" t="s">
        <v>12</v>
      </c>
      <c r="R108" s="64">
        <f t="shared" ref="R108:W108" si="20">COUNTA(R86:R98)</f>
        <v>0</v>
      </c>
      <c r="S108" s="64">
        <f t="shared" si="20"/>
        <v>0</v>
      </c>
      <c r="T108" s="64">
        <f t="shared" si="20"/>
        <v>0</v>
      </c>
      <c r="U108" s="64">
        <f t="shared" si="20"/>
        <v>0</v>
      </c>
      <c r="V108" s="64">
        <f t="shared" si="20"/>
        <v>0</v>
      </c>
      <c r="W108" s="64">
        <f t="shared" si="20"/>
        <v>0</v>
      </c>
      <c r="Y108" s="64">
        <f>COUNTA(Y86:Y98)</f>
        <v>4</v>
      </c>
      <c r="Z108" s="64">
        <f>COUNTA(Z86:Z98)</f>
        <v>3</v>
      </c>
      <c r="AA108" s="64">
        <f>COUNTA(AA86:AA98)</f>
        <v>3</v>
      </c>
      <c r="AB108" s="64">
        <f>COUNTA(AB86:AB98)</f>
        <v>0</v>
      </c>
      <c r="AC108" s="64">
        <f>COUNTA(AC86:AC98)</f>
        <v>1</v>
      </c>
    </row>
    <row r="109" spans="2:29" s="64" customFormat="1" ht="13.8">
      <c r="B109" s="72">
        <f t="shared" si="19"/>
        <v>46203</v>
      </c>
      <c r="C109" s="64">
        <v>6</v>
      </c>
      <c r="D109" s="64" t="s">
        <v>13</v>
      </c>
    </row>
    <row r="110" spans="2:29" s="64" customFormat="1" ht="13.8">
      <c r="B110" s="72">
        <f t="shared" si="19"/>
        <v>46234</v>
      </c>
      <c r="C110" s="64">
        <v>7</v>
      </c>
      <c r="D110" s="64" t="s">
        <v>13</v>
      </c>
    </row>
    <row r="111" spans="2:29" s="64" customFormat="1" ht="13.8">
      <c r="B111" s="72">
        <f t="shared" si="19"/>
        <v>46265</v>
      </c>
      <c r="C111" s="64">
        <v>8</v>
      </c>
      <c r="D111" s="64" t="s">
        <v>13</v>
      </c>
    </row>
    <row r="112" spans="2:29" s="64" customFormat="1" ht="13.8">
      <c r="B112" s="72">
        <f t="shared" si="19"/>
        <v>46295</v>
      </c>
      <c r="C112" s="64">
        <v>9</v>
      </c>
      <c r="D112" s="64" t="s">
        <v>12</v>
      </c>
    </row>
    <row r="113" spans="2:4" s="64" customFormat="1" ht="13.8">
      <c r="B113" s="72">
        <f t="shared" si="19"/>
        <v>46326</v>
      </c>
      <c r="C113" s="64">
        <v>10</v>
      </c>
      <c r="D113" s="64" t="s">
        <v>12</v>
      </c>
    </row>
    <row r="114" spans="2:4" s="64" customFormat="1" ht="13.8">
      <c r="B114" s="72">
        <f t="shared" si="19"/>
        <v>46356</v>
      </c>
      <c r="C114" s="64">
        <v>11</v>
      </c>
      <c r="D114" s="64" t="s">
        <v>12</v>
      </c>
    </row>
    <row r="115" spans="2:4" s="64" customFormat="1" ht="13.8">
      <c r="B115" s="72">
        <f t="shared" si="19"/>
        <v>46387</v>
      </c>
      <c r="C115" s="64">
        <v>12</v>
      </c>
      <c r="D115" s="64" t="s">
        <v>12</v>
      </c>
    </row>
    <row r="116" spans="2:4" s="64" customFormat="1" ht="13.8"/>
    <row r="117" spans="2:4" s="64" customFormat="1" ht="13.8"/>
    <row r="118" spans="2:4" s="64" customFormat="1" ht="13.8"/>
    <row r="119" spans="2:4" s="64" customFormat="1" ht="13.8"/>
    <row r="120" spans="2:4" s="64" customFormat="1" ht="13.8"/>
    <row r="121" spans="2:4" s="64" customFormat="1" ht="13.8"/>
    <row r="122" spans="2:4" s="64" customFormat="1" ht="13.8"/>
    <row r="123" spans="2:4" s="64" customFormat="1" ht="13.8"/>
    <row r="124" spans="2:4" s="64" customFormat="1" ht="13.8"/>
  </sheetData>
  <sheetProtection algorithmName="SHA-512" hashValue="XibmiFt1sLl/mnTtR0Gr83o9iPhTLA6VvFnD7daDb9FCM+blhWbimdamVk5FMh9KvdlFD6k7Pn/5AkCDrtxvLA==" saltValue="XwDfw4pwZBa+1c9/dl6gYg==" spinCount="100000" sheet="1" objects="1" scenarios="1"/>
  <mergeCells count="2">
    <mergeCell ref="R55:AC55"/>
    <mergeCell ref="R83:AC83"/>
  </mergeCells>
  <phoneticPr fontId="35" type="noConversion"/>
  <dataValidations count="1">
    <dataValidation type="list" allowBlank="1" showInputMessage="1" showErrorMessage="1" sqref="R85:W98 C57:I71 Y57:AC78 R57:W78 Y85:AC98 K57:O71" xr:uid="{00000000-0002-0000-0900-000000000000}">
      <formula1>Full_Tariff_List</formula1>
    </dataValidation>
  </dataValidations>
  <pageMargins left="0.7" right="0.7" top="0.75" bottom="0.75" header="0.3" footer="0.3"/>
  <ignoredErrors>
    <ignoredError sqref="K57:O70 I57" unlockedFormula="1"/>
  </ignoredErrors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7">
    <tabColor rgb="FFFFFF00"/>
  </sheetPr>
  <dimension ref="A1:G144"/>
  <sheetViews>
    <sheetView showGridLines="0" zoomScale="85" zoomScaleNormal="85" workbookViewId="0">
      <pane ySplit="2" topLeftCell="A128" activePane="bottomLeft" state="frozen"/>
      <selection pane="bottomLeft" activeCell="G140" sqref="G140:G142"/>
    </sheetView>
  </sheetViews>
  <sheetFormatPr defaultColWidth="9.28515625" defaultRowHeight="13.2"/>
  <cols>
    <col min="1" max="1" width="1.85546875" style="82" customWidth="1"/>
    <col min="2" max="2" width="4.42578125" style="82" customWidth="1"/>
    <col min="3" max="3" width="4" style="82" customWidth="1"/>
    <col min="4" max="4" width="121.7109375" style="82" customWidth="1"/>
    <col min="5" max="5" width="25.85546875" style="82" customWidth="1"/>
    <col min="6" max="6" width="13.85546875" style="82" bestFit="1" customWidth="1"/>
    <col min="7" max="7" width="17.140625" style="82" customWidth="1"/>
    <col min="8" max="16384" width="9.28515625" style="82"/>
  </cols>
  <sheetData>
    <row r="1" spans="2:7" ht="13.8" thickBot="1"/>
    <row r="2" spans="2:7" ht="19.5" customHeight="1" thickBot="1">
      <c r="B2" s="109"/>
      <c r="C2" s="110" t="s">
        <v>271</v>
      </c>
      <c r="D2" s="111"/>
      <c r="E2" s="112" t="s">
        <v>272</v>
      </c>
      <c r="F2" s="138"/>
      <c r="G2" s="113" t="s">
        <v>247</v>
      </c>
    </row>
    <row r="3" spans="2:7" ht="13.2" customHeight="1">
      <c r="B3" s="230" t="s">
        <v>261</v>
      </c>
      <c r="C3" s="139" t="s">
        <v>248</v>
      </c>
      <c r="D3" s="105" t="s">
        <v>249</v>
      </c>
      <c r="E3" s="100"/>
      <c r="F3" s="100"/>
      <c r="G3" s="140"/>
    </row>
    <row r="4" spans="2:7">
      <c r="B4" s="230"/>
      <c r="D4" s="106" t="s">
        <v>237</v>
      </c>
      <c r="E4" s="101"/>
      <c r="F4" s="101"/>
      <c r="G4" s="140" t="s">
        <v>274</v>
      </c>
    </row>
    <row r="5" spans="2:7">
      <c r="B5" s="230"/>
      <c r="D5" s="107" t="s">
        <v>238</v>
      </c>
      <c r="E5" s="102"/>
      <c r="F5" s="102"/>
      <c r="G5" s="140"/>
    </row>
    <row r="6" spans="2:7">
      <c r="B6" s="230"/>
      <c r="D6" s="107" t="s">
        <v>239</v>
      </c>
      <c r="E6" s="102"/>
      <c r="F6" s="102"/>
      <c r="G6" s="140"/>
    </row>
    <row r="7" spans="2:7">
      <c r="B7" s="230"/>
      <c r="C7" s="114"/>
      <c r="D7" s="115" t="s">
        <v>236</v>
      </c>
      <c r="E7" s="116"/>
      <c r="F7" s="116"/>
      <c r="G7" s="141"/>
    </row>
    <row r="8" spans="2:7">
      <c r="B8" s="230"/>
      <c r="D8" s="105"/>
      <c r="E8" s="100"/>
      <c r="F8" s="100"/>
      <c r="G8" s="140"/>
    </row>
    <row r="9" spans="2:7">
      <c r="B9" s="230"/>
      <c r="C9" s="139" t="s">
        <v>248</v>
      </c>
      <c r="D9" s="105" t="s">
        <v>250</v>
      </c>
      <c r="E9" s="100"/>
      <c r="F9" s="100"/>
      <c r="G9" s="140"/>
    </row>
    <row r="10" spans="2:7">
      <c r="B10" s="230"/>
      <c r="D10" s="106" t="s">
        <v>251</v>
      </c>
      <c r="E10" s="101"/>
      <c r="F10" s="101"/>
      <c r="G10" s="142">
        <v>41978</v>
      </c>
    </row>
    <row r="11" spans="2:7">
      <c r="B11" s="230"/>
      <c r="C11" s="114"/>
      <c r="D11" s="117" t="s">
        <v>252</v>
      </c>
      <c r="E11" s="118"/>
      <c r="F11" s="118"/>
      <c r="G11" s="143">
        <v>41978</v>
      </c>
    </row>
    <row r="12" spans="2:7">
      <c r="B12" s="230"/>
      <c r="D12" s="105"/>
      <c r="E12" s="100"/>
      <c r="F12" s="100"/>
      <c r="G12" s="140"/>
    </row>
    <row r="13" spans="2:7">
      <c r="B13" s="230"/>
      <c r="C13" s="139" t="s">
        <v>248</v>
      </c>
      <c r="D13" s="105" t="s">
        <v>150</v>
      </c>
      <c r="E13" s="100"/>
      <c r="F13" s="100"/>
      <c r="G13" s="140"/>
    </row>
    <row r="14" spans="2:7">
      <c r="B14" s="230"/>
      <c r="C14" s="114"/>
      <c r="D14" s="115" t="s">
        <v>253</v>
      </c>
      <c r="E14" s="116"/>
      <c r="F14" s="116"/>
      <c r="G14" s="143">
        <v>41978</v>
      </c>
    </row>
    <row r="15" spans="2:7">
      <c r="B15" s="230"/>
      <c r="D15" s="105"/>
      <c r="E15" s="100"/>
      <c r="F15" s="100"/>
      <c r="G15" s="140"/>
    </row>
    <row r="16" spans="2:7">
      <c r="B16" s="230"/>
      <c r="C16" s="139" t="s">
        <v>248</v>
      </c>
      <c r="D16" s="105" t="s">
        <v>258</v>
      </c>
      <c r="E16" s="100"/>
      <c r="F16" s="100"/>
      <c r="G16" s="140"/>
    </row>
    <row r="17" spans="2:7" ht="26.4">
      <c r="B17" s="230"/>
      <c r="D17" s="106" t="s">
        <v>259</v>
      </c>
      <c r="E17" s="101"/>
      <c r="F17" s="101"/>
      <c r="G17" s="142">
        <v>42291</v>
      </c>
    </row>
    <row r="18" spans="2:7" ht="6.75" customHeight="1">
      <c r="B18" s="144"/>
      <c r="C18" s="145"/>
      <c r="D18" s="108"/>
      <c r="E18" s="103"/>
      <c r="F18" s="103"/>
      <c r="G18" s="146"/>
    </row>
    <row r="19" spans="2:7" ht="13.2" customHeight="1">
      <c r="B19" s="229" t="s">
        <v>262</v>
      </c>
      <c r="C19" s="139" t="s">
        <v>248</v>
      </c>
      <c r="D19" s="105" t="s">
        <v>249</v>
      </c>
      <c r="E19" s="100"/>
      <c r="F19" s="100"/>
      <c r="G19" s="140"/>
    </row>
    <row r="20" spans="2:7" ht="26.4">
      <c r="B20" s="230"/>
      <c r="D20" s="107" t="s">
        <v>263</v>
      </c>
      <c r="E20" s="102" t="s">
        <v>273</v>
      </c>
      <c r="F20" s="102"/>
      <c r="G20" s="142">
        <v>42422</v>
      </c>
    </row>
    <row r="21" spans="2:7" ht="26.4">
      <c r="B21" s="230"/>
      <c r="C21" s="114"/>
      <c r="D21" s="117" t="s">
        <v>264</v>
      </c>
      <c r="E21" s="118" t="s">
        <v>273</v>
      </c>
      <c r="F21" s="118"/>
      <c r="G21" s="143">
        <v>42422</v>
      </c>
    </row>
    <row r="22" spans="2:7">
      <c r="B22" s="230"/>
      <c r="D22" s="105"/>
      <c r="E22" s="100"/>
      <c r="F22" s="100"/>
      <c r="G22" s="140"/>
    </row>
    <row r="23" spans="2:7">
      <c r="B23" s="230"/>
      <c r="C23" s="139" t="s">
        <v>248</v>
      </c>
      <c r="D23" s="105" t="s">
        <v>250</v>
      </c>
      <c r="E23" s="100"/>
      <c r="F23" s="100"/>
      <c r="G23" s="142"/>
    </row>
    <row r="24" spans="2:7">
      <c r="B24" s="230"/>
      <c r="D24" s="107" t="s">
        <v>269</v>
      </c>
      <c r="E24" s="102" t="s">
        <v>267</v>
      </c>
      <c r="F24" s="102"/>
      <c r="G24" s="142">
        <v>42431</v>
      </c>
    </row>
    <row r="25" spans="2:7">
      <c r="B25" s="230"/>
      <c r="C25" s="114"/>
      <c r="D25" s="117" t="s">
        <v>270</v>
      </c>
      <c r="E25" s="118" t="s">
        <v>268</v>
      </c>
      <c r="F25" s="118"/>
      <c r="G25" s="143">
        <v>42431</v>
      </c>
    </row>
    <row r="26" spans="2:7">
      <c r="B26" s="230"/>
      <c r="D26" s="105" t="s">
        <v>277</v>
      </c>
      <c r="E26" s="100"/>
      <c r="F26" s="100"/>
      <c r="G26" s="142">
        <v>42415</v>
      </c>
    </row>
    <row r="27" spans="2:7">
      <c r="B27" s="231"/>
      <c r="C27" s="99"/>
      <c r="D27" s="119" t="s">
        <v>278</v>
      </c>
      <c r="E27" s="104"/>
      <c r="F27" s="104"/>
      <c r="G27" s="147">
        <v>42416</v>
      </c>
    </row>
    <row r="28" spans="2:7" ht="6.75" customHeight="1">
      <c r="B28" s="144"/>
      <c r="C28" s="145"/>
      <c r="D28" s="108"/>
      <c r="E28" s="103"/>
      <c r="F28" s="103"/>
      <c r="G28" s="146"/>
    </row>
    <row r="29" spans="2:7" ht="13.2" customHeight="1">
      <c r="B29" s="230" t="s">
        <v>279</v>
      </c>
      <c r="D29" s="105"/>
      <c r="E29" s="100"/>
      <c r="F29" s="100"/>
      <c r="G29" s="140"/>
    </row>
    <row r="30" spans="2:7">
      <c r="B30" s="230"/>
      <c r="C30" s="139" t="s">
        <v>248</v>
      </c>
      <c r="D30" s="105" t="s">
        <v>250</v>
      </c>
      <c r="E30" s="100"/>
      <c r="F30" s="100"/>
      <c r="G30" s="142"/>
    </row>
    <row r="31" spans="2:7">
      <c r="B31" s="230"/>
      <c r="D31" s="107" t="s">
        <v>280</v>
      </c>
      <c r="E31" s="102" t="s">
        <v>267</v>
      </c>
      <c r="F31" s="102"/>
      <c r="G31" s="142">
        <v>42804</v>
      </c>
    </row>
    <row r="32" spans="2:7">
      <c r="B32" s="230"/>
      <c r="C32" s="114"/>
      <c r="D32" s="117" t="s">
        <v>281</v>
      </c>
      <c r="E32" s="118" t="s">
        <v>268</v>
      </c>
      <c r="F32" s="118"/>
      <c r="G32" s="143">
        <v>42804</v>
      </c>
    </row>
    <row r="33" spans="2:7">
      <c r="B33" s="230"/>
      <c r="D33" s="105" t="s">
        <v>277</v>
      </c>
      <c r="E33" s="100"/>
      <c r="F33" s="100"/>
      <c r="G33" s="142"/>
    </row>
    <row r="34" spans="2:7">
      <c r="B34" s="231"/>
      <c r="C34" s="99"/>
      <c r="D34" s="119" t="s">
        <v>278</v>
      </c>
      <c r="E34" s="104"/>
      <c r="F34" s="104"/>
      <c r="G34" s="147"/>
    </row>
    <row r="35" spans="2:7" ht="6.75" customHeight="1">
      <c r="B35" s="144"/>
      <c r="C35" s="145"/>
      <c r="D35" s="108"/>
      <c r="E35" s="103"/>
      <c r="F35" s="103"/>
      <c r="G35" s="146"/>
    </row>
    <row r="36" spans="2:7" ht="13.2" customHeight="1">
      <c r="B36" s="229" t="s">
        <v>284</v>
      </c>
      <c r="D36" s="105"/>
      <c r="E36" s="100"/>
      <c r="F36" s="100"/>
      <c r="G36" s="140"/>
    </row>
    <row r="37" spans="2:7">
      <c r="B37" s="230"/>
      <c r="C37" s="139" t="s">
        <v>248</v>
      </c>
      <c r="D37" s="105" t="s">
        <v>250</v>
      </c>
      <c r="E37" s="100"/>
      <c r="F37" s="100"/>
      <c r="G37" s="142"/>
    </row>
    <row r="38" spans="2:7">
      <c r="B38" s="230"/>
      <c r="D38" s="107" t="s">
        <v>285</v>
      </c>
      <c r="E38" s="102" t="s">
        <v>267</v>
      </c>
      <c r="F38" s="102"/>
      <c r="G38" s="142">
        <v>43153</v>
      </c>
    </row>
    <row r="39" spans="2:7">
      <c r="B39" s="230"/>
      <c r="D39" s="107" t="s">
        <v>286</v>
      </c>
      <c r="E39" s="102" t="s">
        <v>268</v>
      </c>
      <c r="F39" s="102"/>
      <c r="G39" s="142">
        <v>43153</v>
      </c>
    </row>
    <row r="40" spans="2:7">
      <c r="B40" s="230"/>
      <c r="C40" s="114"/>
      <c r="D40" s="117" t="s">
        <v>287</v>
      </c>
      <c r="E40" s="118" t="s">
        <v>268</v>
      </c>
      <c r="F40" s="118"/>
      <c r="G40" s="143">
        <v>43153</v>
      </c>
    </row>
    <row r="41" spans="2:7">
      <c r="B41" s="230"/>
      <c r="D41" s="105" t="s">
        <v>277</v>
      </c>
      <c r="E41" s="100"/>
      <c r="F41" s="100"/>
      <c r="G41" s="142"/>
    </row>
    <row r="42" spans="2:7">
      <c r="B42" s="231"/>
      <c r="C42" s="99"/>
      <c r="D42" s="119" t="s">
        <v>278</v>
      </c>
      <c r="E42" s="104"/>
      <c r="F42" s="104"/>
      <c r="G42" s="147"/>
    </row>
    <row r="43" spans="2:7" ht="6.75" customHeight="1">
      <c r="B43" s="144"/>
      <c r="C43" s="145"/>
      <c r="D43" s="108"/>
      <c r="E43" s="103"/>
      <c r="F43" s="103"/>
      <c r="G43" s="146"/>
    </row>
    <row r="44" spans="2:7" ht="13.2" customHeight="1">
      <c r="B44" s="229" t="s">
        <v>288</v>
      </c>
      <c r="D44" s="105"/>
      <c r="E44" s="100"/>
      <c r="F44" s="100"/>
      <c r="G44" s="140"/>
    </row>
    <row r="45" spans="2:7">
      <c r="B45" s="230"/>
      <c r="C45" s="139" t="s">
        <v>248</v>
      </c>
      <c r="D45" s="105" t="s">
        <v>250</v>
      </c>
      <c r="E45" s="100"/>
      <c r="F45" s="100"/>
      <c r="G45" s="142"/>
    </row>
    <row r="46" spans="2:7">
      <c r="B46" s="230"/>
      <c r="D46" s="107" t="s">
        <v>290</v>
      </c>
      <c r="E46" s="102" t="s">
        <v>267</v>
      </c>
      <c r="F46" s="102"/>
      <c r="G46" s="142">
        <v>43535</v>
      </c>
    </row>
    <row r="47" spans="2:7">
      <c r="B47" s="230"/>
      <c r="D47" s="107" t="s">
        <v>289</v>
      </c>
      <c r="E47" s="102" t="s">
        <v>268</v>
      </c>
      <c r="F47" s="102"/>
      <c r="G47" s="142">
        <v>43535</v>
      </c>
    </row>
    <row r="48" spans="2:7">
      <c r="B48" s="230"/>
      <c r="D48" s="107" t="s">
        <v>292</v>
      </c>
      <c r="E48" s="102" t="s">
        <v>291</v>
      </c>
      <c r="F48" s="102"/>
      <c r="G48" s="142">
        <v>43535</v>
      </c>
    </row>
    <row r="49" spans="2:7">
      <c r="B49" s="230"/>
      <c r="D49" s="105" t="s">
        <v>277</v>
      </c>
      <c r="E49" s="100"/>
      <c r="F49" s="100"/>
      <c r="G49" s="142"/>
    </row>
    <row r="50" spans="2:7">
      <c r="B50" s="231"/>
      <c r="C50" s="99"/>
      <c r="D50" s="119" t="s">
        <v>278</v>
      </c>
      <c r="E50" s="104"/>
      <c r="F50" s="104"/>
      <c r="G50" s="147"/>
    </row>
    <row r="51" spans="2:7" ht="6.75" customHeight="1">
      <c r="B51" s="144"/>
      <c r="C51" s="145"/>
      <c r="D51" s="108"/>
      <c r="E51" s="103"/>
      <c r="F51" s="103"/>
      <c r="G51" s="146"/>
    </row>
    <row r="52" spans="2:7" ht="13.2" customHeight="1">
      <c r="B52" s="229" t="s">
        <v>293</v>
      </c>
      <c r="D52" s="105"/>
      <c r="E52" s="100"/>
      <c r="F52" s="100"/>
      <c r="G52" s="140"/>
    </row>
    <row r="53" spans="2:7">
      <c r="B53" s="230"/>
      <c r="C53" s="139" t="s">
        <v>248</v>
      </c>
      <c r="D53" s="105" t="s">
        <v>250</v>
      </c>
      <c r="E53" s="100"/>
      <c r="F53" s="100"/>
      <c r="G53" s="142"/>
    </row>
    <row r="54" spans="2:7">
      <c r="B54" s="230"/>
      <c r="D54" s="107" t="s">
        <v>294</v>
      </c>
      <c r="E54" s="102" t="s">
        <v>267</v>
      </c>
      <c r="F54" s="102"/>
      <c r="G54" s="142">
        <v>43900</v>
      </c>
    </row>
    <row r="55" spans="2:7">
      <c r="B55" s="230"/>
      <c r="D55" s="107" t="s">
        <v>295</v>
      </c>
      <c r="E55" s="102" t="s">
        <v>268</v>
      </c>
      <c r="F55" s="102"/>
      <c r="G55" s="142">
        <v>43900</v>
      </c>
    </row>
    <row r="56" spans="2:7">
      <c r="B56" s="230"/>
      <c r="D56" s="107" t="s">
        <v>292</v>
      </c>
      <c r="E56" s="102" t="s">
        <v>291</v>
      </c>
      <c r="F56" s="102"/>
      <c r="G56" s="142">
        <v>43900</v>
      </c>
    </row>
    <row r="57" spans="2:7">
      <c r="B57" s="230"/>
      <c r="D57" s="105" t="s">
        <v>277</v>
      </c>
      <c r="E57" s="100"/>
      <c r="F57" s="100"/>
      <c r="G57" s="142"/>
    </row>
    <row r="58" spans="2:7">
      <c r="B58" s="231"/>
      <c r="C58" s="99"/>
      <c r="D58" s="119" t="s">
        <v>278</v>
      </c>
      <c r="E58" s="104"/>
      <c r="F58" s="104"/>
      <c r="G58" s="147"/>
    </row>
    <row r="59" spans="2:7" ht="6.75" customHeight="1">
      <c r="B59" s="144"/>
      <c r="C59" s="145"/>
      <c r="D59" s="108"/>
      <c r="E59" s="103"/>
      <c r="F59" s="103"/>
      <c r="G59" s="146"/>
    </row>
    <row r="60" spans="2:7" ht="13.2" customHeight="1">
      <c r="B60" s="229" t="s">
        <v>345</v>
      </c>
      <c r="D60" s="105"/>
      <c r="E60" s="100"/>
      <c r="F60" s="100"/>
      <c r="G60" s="140"/>
    </row>
    <row r="61" spans="2:7">
      <c r="B61" s="230"/>
      <c r="C61" s="139" t="s">
        <v>248</v>
      </c>
      <c r="D61" s="105" t="s">
        <v>250</v>
      </c>
      <c r="E61" s="100"/>
      <c r="F61" s="100"/>
      <c r="G61" s="142"/>
    </row>
    <row r="62" spans="2:7">
      <c r="B62" s="230"/>
      <c r="D62" s="107" t="s">
        <v>346</v>
      </c>
      <c r="E62" s="102" t="s">
        <v>267</v>
      </c>
      <c r="F62" s="102"/>
      <c r="G62" s="142">
        <v>44004</v>
      </c>
    </row>
    <row r="63" spans="2:7">
      <c r="B63" s="230"/>
      <c r="D63" s="107" t="s">
        <v>295</v>
      </c>
      <c r="E63" s="102" t="s">
        <v>268</v>
      </c>
      <c r="F63" s="102"/>
      <c r="G63" s="142">
        <v>44004</v>
      </c>
    </row>
    <row r="64" spans="2:7" ht="92.4">
      <c r="B64" s="230"/>
      <c r="D64" s="107" t="s">
        <v>292</v>
      </c>
      <c r="E64" s="102" t="s">
        <v>291</v>
      </c>
      <c r="F64" s="102" t="s">
        <v>347</v>
      </c>
      <c r="G64" s="142">
        <v>44004</v>
      </c>
    </row>
    <row r="65" spans="2:7">
      <c r="B65" s="230"/>
      <c r="D65" s="107"/>
      <c r="E65" s="102"/>
      <c r="F65" s="102"/>
      <c r="G65" s="142"/>
    </row>
    <row r="66" spans="2:7">
      <c r="B66" s="230"/>
      <c r="D66" s="107"/>
      <c r="E66" s="102"/>
      <c r="F66" s="102"/>
      <c r="G66" s="142"/>
    </row>
    <row r="67" spans="2:7" ht="13.2" customHeight="1">
      <c r="B67" s="230"/>
      <c r="D67" s="129" t="s">
        <v>278</v>
      </c>
      <c r="E67" s="102"/>
      <c r="F67" s="102" t="s">
        <v>348</v>
      </c>
      <c r="G67" s="142">
        <v>44018</v>
      </c>
    </row>
    <row r="68" spans="2:7" ht="13.2" customHeight="1">
      <c r="B68" s="230"/>
      <c r="D68" s="129" t="s">
        <v>349</v>
      </c>
      <c r="E68" s="100"/>
      <c r="F68" s="100" t="s">
        <v>350</v>
      </c>
      <c r="G68" s="142">
        <v>44018</v>
      </c>
    </row>
    <row r="69" spans="2:7">
      <c r="B69" s="230"/>
      <c r="D69" s="129" t="s">
        <v>351</v>
      </c>
      <c r="E69" s="100"/>
      <c r="F69" s="100"/>
      <c r="G69" s="142">
        <v>44029</v>
      </c>
    </row>
    <row r="70" spans="2:7">
      <c r="B70" s="231"/>
      <c r="C70" s="99"/>
      <c r="D70" s="119"/>
      <c r="E70" s="104"/>
      <c r="F70" s="104"/>
      <c r="G70" s="147"/>
    </row>
    <row r="71" spans="2:7">
      <c r="B71" s="229" t="s">
        <v>352</v>
      </c>
      <c r="D71" s="105"/>
      <c r="E71" s="100"/>
      <c r="F71" s="100"/>
      <c r="G71" s="140"/>
    </row>
    <row r="72" spans="2:7">
      <c r="B72" s="230"/>
      <c r="C72" s="139" t="s">
        <v>248</v>
      </c>
      <c r="D72" s="105" t="s">
        <v>250</v>
      </c>
      <c r="E72" s="100"/>
      <c r="F72" s="100"/>
      <c r="G72" s="142"/>
    </row>
    <row r="73" spans="2:7">
      <c r="B73" s="230"/>
      <c r="D73" s="107" t="s">
        <v>353</v>
      </c>
      <c r="E73" s="102" t="s">
        <v>267</v>
      </c>
      <c r="F73" s="102"/>
      <c r="G73" s="142">
        <v>44784</v>
      </c>
    </row>
    <row r="74" spans="2:7">
      <c r="B74" s="230"/>
      <c r="D74" s="107" t="s">
        <v>296</v>
      </c>
      <c r="E74" s="102" t="s">
        <v>268</v>
      </c>
      <c r="F74" s="102"/>
      <c r="G74" s="142">
        <v>44784</v>
      </c>
    </row>
    <row r="75" spans="2:7">
      <c r="B75" s="230"/>
      <c r="D75" s="107" t="s">
        <v>292</v>
      </c>
      <c r="E75" s="102" t="s">
        <v>291</v>
      </c>
      <c r="F75" s="102"/>
      <c r="G75" s="142">
        <v>44784</v>
      </c>
    </row>
    <row r="76" spans="2:7">
      <c r="B76" s="230"/>
      <c r="C76" s="126"/>
      <c r="D76" s="127" t="s">
        <v>354</v>
      </c>
      <c r="E76" s="128" t="s">
        <v>267</v>
      </c>
      <c r="F76" s="128"/>
      <c r="G76" s="148">
        <v>44784</v>
      </c>
    </row>
    <row r="77" spans="2:7">
      <c r="B77" s="230"/>
      <c r="D77" s="107"/>
      <c r="E77" s="102" t="s">
        <v>306</v>
      </c>
      <c r="F77" s="102"/>
      <c r="G77" s="142">
        <v>44784</v>
      </c>
    </row>
    <row r="78" spans="2:7">
      <c r="B78" s="230"/>
      <c r="D78" s="129"/>
      <c r="E78" s="102" t="s">
        <v>307</v>
      </c>
      <c r="F78" s="102"/>
      <c r="G78" s="142">
        <v>44784</v>
      </c>
    </row>
    <row r="79" spans="2:7" ht="26.4">
      <c r="B79" s="230"/>
      <c r="D79" s="129"/>
      <c r="E79" s="100" t="s">
        <v>308</v>
      </c>
      <c r="F79" s="100"/>
      <c r="G79" s="142">
        <v>44784</v>
      </c>
    </row>
    <row r="80" spans="2:7">
      <c r="B80" s="230"/>
      <c r="D80" s="129"/>
      <c r="E80" s="100" t="s">
        <v>309</v>
      </c>
      <c r="F80" s="100"/>
      <c r="G80" s="142">
        <v>44784</v>
      </c>
    </row>
    <row r="81" spans="2:7">
      <c r="B81" s="231"/>
      <c r="C81" s="99"/>
      <c r="D81" s="119"/>
      <c r="E81" s="104"/>
      <c r="F81" s="104"/>
      <c r="G81" s="147"/>
    </row>
    <row r="82" spans="2:7">
      <c r="B82" s="229" t="s">
        <v>355</v>
      </c>
      <c r="D82" s="105"/>
      <c r="E82" s="100"/>
      <c r="F82" s="100"/>
      <c r="G82" s="140"/>
    </row>
    <row r="83" spans="2:7">
      <c r="B83" s="230"/>
      <c r="C83" s="139" t="s">
        <v>248</v>
      </c>
      <c r="D83" s="105" t="s">
        <v>250</v>
      </c>
      <c r="E83" s="100"/>
      <c r="F83" s="100"/>
      <c r="G83" s="142"/>
    </row>
    <row r="84" spans="2:7">
      <c r="B84" s="230"/>
      <c r="D84" s="107" t="s">
        <v>356</v>
      </c>
      <c r="E84" s="102" t="s">
        <v>267</v>
      </c>
      <c r="F84" s="102"/>
      <c r="G84" s="142">
        <v>44907</v>
      </c>
    </row>
    <row r="85" spans="2:7" ht="16.2" customHeight="1">
      <c r="B85" s="230"/>
      <c r="D85" s="107" t="s">
        <v>344</v>
      </c>
      <c r="E85" s="102" t="s">
        <v>268</v>
      </c>
      <c r="F85" s="102"/>
      <c r="G85" s="142">
        <v>44907</v>
      </c>
    </row>
    <row r="86" spans="2:7">
      <c r="B86" s="230"/>
      <c r="D86" s="107" t="s">
        <v>292</v>
      </c>
      <c r="E86" s="102" t="s">
        <v>291</v>
      </c>
      <c r="F86" s="102"/>
      <c r="G86" s="142">
        <v>44907</v>
      </c>
    </row>
    <row r="87" spans="2:7">
      <c r="B87" s="230"/>
      <c r="C87" s="126"/>
      <c r="D87" s="127" t="s">
        <v>354</v>
      </c>
      <c r="E87" s="128" t="s">
        <v>267</v>
      </c>
      <c r="F87" s="128"/>
      <c r="G87" s="148">
        <v>44907</v>
      </c>
    </row>
    <row r="88" spans="2:7">
      <c r="B88" s="230"/>
      <c r="D88" s="107"/>
      <c r="E88" s="102" t="s">
        <v>306</v>
      </c>
      <c r="F88" s="102"/>
      <c r="G88" s="142">
        <v>44907</v>
      </c>
    </row>
    <row r="89" spans="2:7">
      <c r="B89" s="230"/>
      <c r="D89" s="129"/>
      <c r="E89" s="102" t="s">
        <v>307</v>
      </c>
      <c r="F89" s="102"/>
      <c r="G89" s="142">
        <v>44907</v>
      </c>
    </row>
    <row r="90" spans="2:7" ht="26.4">
      <c r="B90" s="230"/>
      <c r="D90" s="129"/>
      <c r="E90" s="100" t="s">
        <v>308</v>
      </c>
      <c r="F90" s="100"/>
      <c r="G90" s="142">
        <v>44907</v>
      </c>
    </row>
    <row r="91" spans="2:7">
      <c r="B91" s="230"/>
      <c r="D91" s="129"/>
      <c r="E91" s="100" t="s">
        <v>309</v>
      </c>
      <c r="F91" s="100"/>
      <c r="G91" s="142">
        <v>44907</v>
      </c>
    </row>
    <row r="92" spans="2:7">
      <c r="B92" s="231"/>
      <c r="C92" s="99"/>
      <c r="D92" s="119"/>
      <c r="E92" s="104"/>
      <c r="F92" s="104"/>
      <c r="G92" s="147"/>
    </row>
    <row r="93" spans="2:7">
      <c r="B93" s="229" t="s">
        <v>357</v>
      </c>
      <c r="D93" s="105"/>
      <c r="E93" s="100"/>
      <c r="F93" s="100"/>
      <c r="G93" s="140"/>
    </row>
    <row r="94" spans="2:7">
      <c r="B94" s="230"/>
      <c r="C94" s="139" t="s">
        <v>248</v>
      </c>
      <c r="D94" s="105" t="s">
        <v>250</v>
      </c>
      <c r="E94" s="100"/>
      <c r="F94" s="100"/>
      <c r="G94" s="142"/>
    </row>
    <row r="95" spans="2:7">
      <c r="B95" s="230"/>
      <c r="D95" s="107" t="s">
        <v>358</v>
      </c>
      <c r="E95" s="102" t="s">
        <v>267</v>
      </c>
      <c r="F95" s="102"/>
      <c r="G95" s="142">
        <v>45503</v>
      </c>
    </row>
    <row r="96" spans="2:7">
      <c r="B96" s="230"/>
      <c r="D96" s="107" t="s">
        <v>359</v>
      </c>
      <c r="E96" s="102" t="s">
        <v>268</v>
      </c>
      <c r="F96" s="102"/>
      <c r="G96" s="142">
        <v>45503</v>
      </c>
    </row>
    <row r="97" spans="1:7">
      <c r="B97" s="230"/>
      <c r="D97" s="107" t="s">
        <v>292</v>
      </c>
      <c r="E97" s="102" t="s">
        <v>291</v>
      </c>
      <c r="F97" s="102"/>
      <c r="G97" s="142">
        <v>45503</v>
      </c>
    </row>
    <row r="98" spans="1:7">
      <c r="B98" s="230"/>
      <c r="C98" s="126"/>
      <c r="D98" s="127" t="s">
        <v>354</v>
      </c>
      <c r="E98" s="128" t="s">
        <v>267</v>
      </c>
      <c r="F98" s="128"/>
      <c r="G98" s="148">
        <v>45503</v>
      </c>
    </row>
    <row r="99" spans="1:7">
      <c r="B99" s="230"/>
      <c r="D99" s="107" t="s">
        <v>360</v>
      </c>
      <c r="E99" s="102" t="s">
        <v>306</v>
      </c>
      <c r="F99" s="102"/>
      <c r="G99" s="142">
        <v>45503</v>
      </c>
    </row>
    <row r="100" spans="1:7">
      <c r="B100" s="230"/>
      <c r="D100" s="129"/>
      <c r="E100" s="102" t="s">
        <v>307</v>
      </c>
      <c r="F100" s="102"/>
      <c r="G100" s="142">
        <v>45503</v>
      </c>
    </row>
    <row r="101" spans="1:7" ht="26.4">
      <c r="B101" s="230"/>
      <c r="D101" s="129"/>
      <c r="E101" s="100" t="s">
        <v>308</v>
      </c>
      <c r="F101" s="100"/>
      <c r="G101" s="142">
        <v>45503</v>
      </c>
    </row>
    <row r="102" spans="1:7">
      <c r="B102" s="230"/>
      <c r="D102" s="129"/>
      <c r="E102" s="100" t="s">
        <v>309</v>
      </c>
      <c r="F102" s="100"/>
      <c r="G102" s="142">
        <v>45503</v>
      </c>
    </row>
    <row r="103" spans="1:7">
      <c r="B103" s="230"/>
      <c r="D103" s="129"/>
      <c r="E103" s="100"/>
      <c r="F103" s="100"/>
      <c r="G103" s="142"/>
    </row>
    <row r="104" spans="1:7">
      <c r="B104" s="229"/>
      <c r="C104" s="126"/>
      <c r="D104" s="127" t="s">
        <v>394</v>
      </c>
      <c r="E104" s="128" t="s">
        <v>395</v>
      </c>
      <c r="F104" s="128"/>
      <c r="G104" s="148">
        <v>45504</v>
      </c>
    </row>
    <row r="105" spans="1:7">
      <c r="A105" s="229"/>
      <c r="B105" s="229"/>
      <c r="D105" s="107"/>
      <c r="E105" s="102"/>
      <c r="F105" s="102"/>
      <c r="G105" s="142"/>
    </row>
    <row r="106" spans="1:7">
      <c r="A106" s="230"/>
      <c r="B106" s="229"/>
      <c r="D106" s="129"/>
      <c r="E106" s="102"/>
      <c r="F106" s="102"/>
      <c r="G106" s="142"/>
    </row>
    <row r="107" spans="1:7">
      <c r="A107" s="230"/>
      <c r="B107" s="229"/>
      <c r="D107" s="129"/>
      <c r="E107" s="100"/>
      <c r="F107" s="100"/>
      <c r="G107" s="142"/>
    </row>
    <row r="108" spans="1:7">
      <c r="A108" s="230"/>
      <c r="B108" s="229"/>
      <c r="D108" s="129"/>
      <c r="E108" s="100"/>
      <c r="F108" s="100"/>
      <c r="G108" s="142"/>
    </row>
    <row r="109" spans="1:7">
      <c r="A109" s="230"/>
      <c r="B109" s="232"/>
      <c r="C109" s="99"/>
      <c r="D109" s="119"/>
      <c r="E109" s="104"/>
      <c r="F109" s="104"/>
      <c r="G109" s="147"/>
    </row>
    <row r="110" spans="1:7" ht="13.2" customHeight="1">
      <c r="A110" s="231"/>
      <c r="B110" s="233" t="s">
        <v>399</v>
      </c>
      <c r="D110" s="105"/>
      <c r="E110" s="100"/>
      <c r="F110" s="100"/>
      <c r="G110" s="140"/>
    </row>
    <row r="111" spans="1:7">
      <c r="B111" s="229"/>
      <c r="C111" s="139" t="s">
        <v>248</v>
      </c>
      <c r="D111" s="105" t="s">
        <v>250</v>
      </c>
      <c r="E111" s="100"/>
      <c r="F111" s="100"/>
      <c r="G111" s="142"/>
    </row>
    <row r="112" spans="1:7">
      <c r="B112" s="229"/>
      <c r="D112" s="107" t="s">
        <v>400</v>
      </c>
      <c r="E112" s="102" t="s">
        <v>267</v>
      </c>
      <c r="F112" s="102"/>
      <c r="G112" s="142">
        <v>45728</v>
      </c>
    </row>
    <row r="113" spans="2:7">
      <c r="B113" s="229"/>
      <c r="D113" s="107" t="s">
        <v>359</v>
      </c>
      <c r="E113" s="102" t="s">
        <v>268</v>
      </c>
      <c r="F113" s="102"/>
      <c r="G113" s="142">
        <v>45728</v>
      </c>
    </row>
    <row r="114" spans="2:7">
      <c r="B114" s="229"/>
      <c r="D114" s="107" t="s">
        <v>292</v>
      </c>
      <c r="E114" s="102" t="s">
        <v>291</v>
      </c>
      <c r="F114" s="102"/>
      <c r="G114" s="142">
        <v>45728</v>
      </c>
    </row>
    <row r="115" spans="2:7">
      <c r="B115" s="229"/>
      <c r="D115" s="129"/>
      <c r="E115" s="100"/>
      <c r="F115" s="100"/>
      <c r="G115" s="142"/>
    </row>
    <row r="116" spans="2:7" ht="46.2" customHeight="1">
      <c r="B116" s="232"/>
      <c r="C116" s="99"/>
      <c r="D116" s="119"/>
      <c r="E116" s="104"/>
      <c r="F116" s="104"/>
      <c r="G116" s="147"/>
    </row>
    <row r="117" spans="2:7">
      <c r="B117" s="233" t="s">
        <v>399</v>
      </c>
      <c r="D117" s="105"/>
      <c r="E117" s="100"/>
      <c r="F117" s="100"/>
      <c r="G117" s="140"/>
    </row>
    <row r="118" spans="2:7">
      <c r="B118" s="229"/>
      <c r="C118" s="139" t="s">
        <v>248</v>
      </c>
      <c r="D118" s="105" t="s">
        <v>404</v>
      </c>
      <c r="E118" s="100" t="s">
        <v>395</v>
      </c>
      <c r="F118" s="100"/>
      <c r="G118" s="142">
        <v>45736</v>
      </c>
    </row>
    <row r="119" spans="2:7">
      <c r="B119" s="229"/>
      <c r="D119" s="107"/>
      <c r="E119" s="102"/>
      <c r="F119" s="102"/>
      <c r="G119" s="142"/>
    </row>
    <row r="120" spans="2:7">
      <c r="B120" s="229"/>
      <c r="D120" s="107"/>
      <c r="E120" s="102"/>
      <c r="F120" s="102"/>
      <c r="G120" s="142"/>
    </row>
    <row r="121" spans="2:7">
      <c r="B121" s="229"/>
      <c r="D121" s="107"/>
      <c r="E121" s="102"/>
      <c r="F121" s="102"/>
      <c r="G121" s="142"/>
    </row>
    <row r="122" spans="2:7">
      <c r="B122" s="229"/>
      <c r="D122" s="129"/>
      <c r="E122" s="100"/>
      <c r="F122" s="100"/>
      <c r="G122" s="142"/>
    </row>
    <row r="123" spans="2:7">
      <c r="B123" s="232"/>
      <c r="C123" s="99"/>
      <c r="D123" s="119"/>
      <c r="E123" s="104"/>
      <c r="F123" s="104"/>
      <c r="G123" s="147"/>
    </row>
    <row r="124" spans="2:7">
      <c r="B124" s="233" t="s">
        <v>399</v>
      </c>
      <c r="D124" s="105"/>
      <c r="E124" s="100"/>
      <c r="F124" s="100"/>
      <c r="G124" s="140"/>
    </row>
    <row r="125" spans="2:7">
      <c r="B125" s="229"/>
      <c r="C125" s="139"/>
      <c r="D125" s="105"/>
      <c r="E125" s="100"/>
      <c r="F125" s="100"/>
      <c r="G125" s="142"/>
    </row>
    <row r="126" spans="2:7">
      <c r="B126" s="229"/>
      <c r="D126" s="107"/>
      <c r="E126" s="102"/>
      <c r="F126" s="102"/>
      <c r="G126" s="142"/>
    </row>
    <row r="127" spans="2:7">
      <c r="B127" s="229"/>
      <c r="D127" s="107" t="s">
        <v>405</v>
      </c>
      <c r="E127" s="102" t="s">
        <v>406</v>
      </c>
      <c r="F127" s="102"/>
      <c r="G127" s="142">
        <v>45755</v>
      </c>
    </row>
    <row r="128" spans="2:7">
      <c r="B128" s="229"/>
      <c r="D128" s="107"/>
      <c r="E128" s="102"/>
      <c r="F128" s="102"/>
      <c r="G128" s="142"/>
    </row>
    <row r="129" spans="2:7">
      <c r="B129" s="229"/>
      <c r="D129" s="129"/>
      <c r="E129" s="100"/>
      <c r="F129" s="100"/>
      <c r="G129" s="142"/>
    </row>
    <row r="130" spans="2:7">
      <c r="B130" s="232"/>
      <c r="C130" s="99"/>
      <c r="D130" s="119"/>
      <c r="E130" s="104"/>
      <c r="F130" s="104"/>
      <c r="G130" s="147"/>
    </row>
    <row r="131" spans="2:7">
      <c r="B131" s="233" t="s">
        <v>399</v>
      </c>
      <c r="D131" s="105"/>
      <c r="E131" s="100"/>
      <c r="F131" s="100"/>
      <c r="G131" s="140"/>
    </row>
    <row r="132" spans="2:7">
      <c r="B132" s="229"/>
      <c r="C132" s="139"/>
      <c r="D132" s="105"/>
      <c r="E132" s="100"/>
      <c r="F132" s="100"/>
      <c r="G132" s="142"/>
    </row>
    <row r="133" spans="2:7">
      <c r="B133" s="229"/>
      <c r="D133" s="107"/>
      <c r="E133" s="102"/>
      <c r="F133" s="102"/>
      <c r="G133" s="142"/>
    </row>
    <row r="134" spans="2:7">
      <c r="B134" s="229"/>
      <c r="D134" s="107" t="s">
        <v>409</v>
      </c>
      <c r="E134" s="102" t="s">
        <v>406</v>
      </c>
      <c r="F134" s="102"/>
      <c r="G134" s="142">
        <v>45839</v>
      </c>
    </row>
    <row r="135" spans="2:7">
      <c r="B135" s="229"/>
      <c r="D135" s="107"/>
      <c r="E135" s="102"/>
      <c r="F135" s="102"/>
      <c r="G135" s="142"/>
    </row>
    <row r="136" spans="2:7">
      <c r="B136" s="229"/>
      <c r="D136" s="129"/>
      <c r="E136" s="100"/>
      <c r="F136" s="100"/>
      <c r="G136" s="142"/>
    </row>
    <row r="137" spans="2:7">
      <c r="B137" s="232"/>
      <c r="C137" s="99"/>
      <c r="D137" s="119"/>
      <c r="E137" s="104"/>
      <c r="F137" s="104"/>
      <c r="G137" s="147"/>
    </row>
    <row r="138" spans="2:7">
      <c r="B138" s="233" t="s">
        <v>410</v>
      </c>
      <c r="D138" s="105"/>
      <c r="E138" s="100"/>
      <c r="F138" s="100"/>
      <c r="G138" s="140"/>
    </row>
    <row r="139" spans="2:7">
      <c r="B139" s="229"/>
      <c r="C139" s="139" t="s">
        <v>248</v>
      </c>
      <c r="D139" s="105" t="s">
        <v>250</v>
      </c>
      <c r="E139" s="100"/>
      <c r="F139" s="100"/>
      <c r="G139" s="142"/>
    </row>
    <row r="140" spans="2:7">
      <c r="B140" s="229"/>
      <c r="D140" s="107" t="s">
        <v>411</v>
      </c>
      <c r="E140" s="102" t="s">
        <v>267</v>
      </c>
      <c r="F140" s="102"/>
      <c r="G140" s="142">
        <v>46094</v>
      </c>
    </row>
    <row r="141" spans="2:7">
      <c r="B141" s="229"/>
      <c r="D141" s="107" t="s">
        <v>398</v>
      </c>
      <c r="E141" s="102" t="s">
        <v>268</v>
      </c>
      <c r="F141" s="102"/>
      <c r="G141" s="142">
        <v>46094</v>
      </c>
    </row>
    <row r="142" spans="2:7">
      <c r="B142" s="229"/>
      <c r="D142" s="107" t="s">
        <v>292</v>
      </c>
      <c r="E142" s="102" t="s">
        <v>291</v>
      </c>
      <c r="F142" s="102"/>
      <c r="G142" s="142">
        <v>46094</v>
      </c>
    </row>
    <row r="143" spans="2:7">
      <c r="B143" s="229"/>
      <c r="D143" s="129"/>
      <c r="E143" s="100"/>
      <c r="F143" s="100"/>
      <c r="G143" s="142"/>
    </row>
    <row r="144" spans="2:7">
      <c r="B144" s="232"/>
      <c r="C144" s="99"/>
      <c r="D144" s="119"/>
      <c r="E144" s="104"/>
      <c r="F144" s="104"/>
      <c r="G144" s="147"/>
    </row>
  </sheetData>
  <sheetProtection algorithmName="SHA-512" hashValue="kWhagwSxVW+ulIGgueTW4THAo2soHSl/py97BxjksPc49zZwGE6wZcut64AI8wXf8TP9ohdctRu1rttwcGJ1nQ==" saltValue="ermzEpQFsbtfnIa+q3+gUg==" spinCount="100000" sheet="1" objects="1" scenarios="1"/>
  <mergeCells count="17">
    <mergeCell ref="B138:B144"/>
    <mergeCell ref="B131:B137"/>
    <mergeCell ref="B124:B130"/>
    <mergeCell ref="B117:B123"/>
    <mergeCell ref="B110:B116"/>
    <mergeCell ref="A105:A110"/>
    <mergeCell ref="B104:B109"/>
    <mergeCell ref="B3:B17"/>
    <mergeCell ref="B19:B27"/>
    <mergeCell ref="B29:B34"/>
    <mergeCell ref="B36:B42"/>
    <mergeCell ref="B44:B50"/>
    <mergeCell ref="B52:B58"/>
    <mergeCell ref="B60:B70"/>
    <mergeCell ref="B71:B81"/>
    <mergeCell ref="B82:B92"/>
    <mergeCell ref="B93:B103"/>
  </mergeCells>
  <phoneticPr fontId="3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B3C974-BA97-4D24-9056-84CA071D9416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93aedbdc-cc67-4652-aa12-d250a876ae79}" enabled="0" method="" siteId="{93aedbdc-cc67-4652-aa12-d250a876ae7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107</vt:i4>
      </vt:variant>
    </vt:vector>
  </HeadingPairs>
  <TitlesOfParts>
    <vt:vector size="119" baseType="lpstr">
      <vt:lpstr>Inputs</vt:lpstr>
      <vt:lpstr>Monthly Average Bill</vt:lpstr>
      <vt:lpstr>Tariff Comparison</vt:lpstr>
      <vt:lpstr>FAQ</vt:lpstr>
      <vt:lpstr>Rates Table</vt:lpstr>
      <vt:lpstr>Workings High</vt:lpstr>
      <vt:lpstr>Workings Low</vt:lpstr>
      <vt:lpstr>Rates SPU - New</vt:lpstr>
      <vt:lpstr>Rates SPU - Current</vt:lpstr>
      <vt:lpstr>Mapping</vt:lpstr>
      <vt:lpstr>Lists</vt:lpstr>
      <vt:lpstr>Notes on updates</vt:lpstr>
      <vt:lpstr>Account_Number</vt:lpstr>
      <vt:lpstr>Ave_Monthly_OffPeak_High</vt:lpstr>
      <vt:lpstr>Ave_Monthly_OffPeak_Low</vt:lpstr>
      <vt:lpstr>Ave_Monthly_Peak_High</vt:lpstr>
      <vt:lpstr>Ave_Monthly_Peak_Low</vt:lpstr>
      <vt:lpstr>Ave_Monthly_Standard_High</vt:lpstr>
      <vt:lpstr>Ave_Monthly_Standard_Low</vt:lpstr>
      <vt:lpstr>Base_Tariff_ID</vt:lpstr>
      <vt:lpstr>Base_Tariff_List</vt:lpstr>
      <vt:lpstr>Base_Tariff_Type</vt:lpstr>
      <vt:lpstr>Block1_max_HL20A</vt:lpstr>
      <vt:lpstr>Block1_max_HL60A</vt:lpstr>
      <vt:lpstr>Block1_max_HP</vt:lpstr>
      <vt:lpstr>Capacity_List_Count</vt:lpstr>
      <vt:lpstr>Capacity_LPU_List</vt:lpstr>
      <vt:lpstr>Capacity_SPU_List</vt:lpstr>
      <vt:lpstr>Compare_Tariff_List</vt:lpstr>
      <vt:lpstr>Current_Period</vt:lpstr>
      <vt:lpstr>Customer_Category_List</vt:lpstr>
      <vt:lpstr>Customer_Name</vt:lpstr>
      <vt:lpstr>Delivery_ID</vt:lpstr>
      <vt:lpstr>Dropdown_Category</vt:lpstr>
      <vt:lpstr>Dropdown_Compare_1</vt:lpstr>
      <vt:lpstr>Dropdown_Compare_2</vt:lpstr>
      <vt:lpstr>Dropdown_Compare_3</vt:lpstr>
      <vt:lpstr>Dropdown_Compare_4</vt:lpstr>
      <vt:lpstr>Dropdown_Customer</vt:lpstr>
      <vt:lpstr>Dropdown_Supply</vt:lpstr>
      <vt:lpstr>Dropdown_Tariff</vt:lpstr>
      <vt:lpstr>Dropdown_Voltage</vt:lpstr>
      <vt:lpstr>Dropdown_Zone</vt:lpstr>
      <vt:lpstr>ESKOM_Period</vt:lpstr>
      <vt:lpstr>ESKOM_Total_days</vt:lpstr>
      <vt:lpstr>Full_Tariff_ID</vt:lpstr>
      <vt:lpstr>Full_Tariff_List</vt:lpstr>
      <vt:lpstr>Full_Tariff_Type</vt:lpstr>
      <vt:lpstr>'Workings Low'!High_Total_Costs_Current</vt:lpstr>
      <vt:lpstr>High_Total_Costs_Current</vt:lpstr>
      <vt:lpstr>'Workings Low'!High_Total_Costs_ExVAT_Current</vt:lpstr>
      <vt:lpstr>High_Total_Costs_ExVAT_Current</vt:lpstr>
      <vt:lpstr>'Workings Low'!High_Total_Costs_ExVAT_New</vt:lpstr>
      <vt:lpstr>High_Total_Costs_ExVAT_New</vt:lpstr>
      <vt:lpstr>'Workings Low'!High_Total_Costs_New</vt:lpstr>
      <vt:lpstr>High_Total_Costs_New</vt:lpstr>
      <vt:lpstr>Homeflex_OffPeak_Energy_High</vt:lpstr>
      <vt:lpstr>Homeflex_OffPeak_Energy_Low</vt:lpstr>
      <vt:lpstr>Homeflex_Peak_Energy_High</vt:lpstr>
      <vt:lpstr>Homeflex_Peak_Energy_Low</vt:lpstr>
      <vt:lpstr>Homeflex_Standard_Energy_High</vt:lpstr>
      <vt:lpstr>Homeflex_Standard_Energy_Low</vt:lpstr>
      <vt:lpstr>Homeflex_Total_Energy</vt:lpstr>
      <vt:lpstr>Homeflex_Total_Monthly_Energy</vt:lpstr>
      <vt:lpstr>List_Seasons</vt:lpstr>
      <vt:lpstr>Matrix_Category_Map</vt:lpstr>
      <vt:lpstr>Matrix_Model_Category</vt:lpstr>
      <vt:lpstr>Matrix_Model_Tariffs</vt:lpstr>
      <vt:lpstr>Matrix_Model_Transmission</vt:lpstr>
      <vt:lpstr>Matrix_Model_Voltage</vt:lpstr>
      <vt:lpstr>Matrix_Tariff_Map</vt:lpstr>
      <vt:lpstr>Matrix_Transmission_Map</vt:lpstr>
      <vt:lpstr>Matrix_Voltage_Map</vt:lpstr>
      <vt:lpstr>Municipality_Period</vt:lpstr>
      <vt:lpstr>New_Period</vt:lpstr>
      <vt:lpstr>Period</vt:lpstr>
      <vt:lpstr>PODs</vt:lpstr>
      <vt:lpstr>'Monthly Average Bill'!Print_Area</vt:lpstr>
      <vt:lpstr>'Monthly Average Bill'!Print_Titles</vt:lpstr>
      <vt:lpstr>Selected_Base_Tariff</vt:lpstr>
      <vt:lpstr>Selected_Compare_Tariff_ID</vt:lpstr>
      <vt:lpstr>Selected_Customer_Category_ID</vt:lpstr>
      <vt:lpstr>Selected_Supply_Size</vt:lpstr>
      <vt:lpstr>Selected_Supply_Size_ID</vt:lpstr>
      <vt:lpstr>Selected_Supply_Voltage</vt:lpstr>
      <vt:lpstr>Selected_Tariff_Category</vt:lpstr>
      <vt:lpstr>Selected_Tariff_Category_ID</vt:lpstr>
      <vt:lpstr>Selected_Tariff_ID</vt:lpstr>
      <vt:lpstr>Selected_Tariff_Type</vt:lpstr>
      <vt:lpstr>Selected_Tariff_Type_ID</vt:lpstr>
      <vt:lpstr>Selected_Transmission</vt:lpstr>
      <vt:lpstr>SPU_Annual_Total_Energy</vt:lpstr>
      <vt:lpstr>SPU_Block_1</vt:lpstr>
      <vt:lpstr>SPU_Block_1_Upper</vt:lpstr>
      <vt:lpstr>SPU_Block_2</vt:lpstr>
      <vt:lpstr>SPU_Days</vt:lpstr>
      <vt:lpstr>SPU_Energy_Charges_Current</vt:lpstr>
      <vt:lpstr>'Workings Low'!SPU_Energy_Charges_Current_Low</vt:lpstr>
      <vt:lpstr>SPU_Energy_Charges_New</vt:lpstr>
      <vt:lpstr>'Workings Low'!SPU_Energy_Charges_New_Low</vt:lpstr>
      <vt:lpstr>SPU_Network_Costs_Current</vt:lpstr>
      <vt:lpstr>'Workings Low'!SPU_Network_Costs_Current_Low</vt:lpstr>
      <vt:lpstr>SPU_Network_Costs_New</vt:lpstr>
      <vt:lpstr>'Workings Low'!SPU_Network_Costs_New_Low</vt:lpstr>
      <vt:lpstr>SPU_Other_Charges_Current</vt:lpstr>
      <vt:lpstr>'Workings Low'!SPU_Other_Charges_Current_Low</vt:lpstr>
      <vt:lpstr>SPU_Other_Charges_NEw</vt:lpstr>
      <vt:lpstr>'Workings Low'!SPU_Other_Charges_NEw_Low</vt:lpstr>
      <vt:lpstr>SPU_Selections</vt:lpstr>
      <vt:lpstr>SPU_Total_Energy</vt:lpstr>
      <vt:lpstr>Supply_Tariff_List_Count</vt:lpstr>
      <vt:lpstr>Table_1</vt:lpstr>
      <vt:lpstr>Table_Months</vt:lpstr>
      <vt:lpstr>Table_Report</vt:lpstr>
      <vt:lpstr>Tariff_Category_List</vt:lpstr>
      <vt:lpstr>Toggle_TOU</vt:lpstr>
      <vt:lpstr>Transmission_List_Count</vt:lpstr>
      <vt:lpstr>VAT</vt:lpstr>
      <vt:lpstr>Voltage_List_Count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Jaqui</dc:creator>
  <cp:lastModifiedBy>Choshane Phaahla</cp:lastModifiedBy>
  <cp:lastPrinted>2023-03-13T13:54:02Z</cp:lastPrinted>
  <dcterms:created xsi:type="dcterms:W3CDTF">2013-08-12T12:59:33Z</dcterms:created>
  <dcterms:modified xsi:type="dcterms:W3CDTF">2026-03-17T07:32:29Z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